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B8Fyr88hJ/SRQhOqYHrQ9Lk357bqCCBHec/JxE3+1EfCCF927nd9Ua0TzKK7KWXvvbPkJw0wmwGUNn8OyF4qJg==" workbookSaltValue="yhhhes2KmKDXNEzrYWhM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K32" i="20"/>
  <c r="U12" i="11"/>
  <c r="AZ32" i="20"/>
  <c r="O18" i="11"/>
  <c r="R32" i="20"/>
  <c r="BF17" i="8" l="1"/>
  <c r="T31" i="8"/>
  <c r="F11" i="16"/>
  <c r="BL11" i="16" s="1"/>
  <c r="BG17" i="13"/>
  <c r="BD17" i="13"/>
  <c r="R8" i="9"/>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K16" i="12"/>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R26" i="14" s="1"/>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J23" i="11" s="1"/>
  <c r="BL17" i="11"/>
  <c r="BH22" i="11"/>
  <c r="X12" i="17"/>
  <c r="X22" i="16"/>
  <c r="L12" i="2"/>
  <c r="X10" i="21"/>
  <c r="L20" i="2"/>
  <c r="V10" i="16"/>
  <c r="V9" i="16"/>
  <c r="X13" i="16"/>
  <c r="BW21" i="20"/>
  <c r="AZ17" i="11"/>
  <c r="BI20" i="11"/>
  <c r="BL28" i="11"/>
  <c r="BH10" i="16"/>
  <c r="S18" i="17"/>
  <c r="BH12" i="16"/>
  <c r="BK22" i="11"/>
  <c r="L22" i="2"/>
  <c r="S16" i="17"/>
  <c r="S17" i="17"/>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K14" i="11"/>
  <c r="BF23" i="11"/>
  <c r="P18" i="11"/>
  <c r="Q16" i="11"/>
  <c r="S23" i="16"/>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<sst xmlns="http://schemas.openxmlformats.org/spreadsheetml/2006/main" count="2682" uniqueCount="1193">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</sst>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VZ8SLWpXGHKgfu7FjGSekJPOtMHATyslSU0+zrMNSOwZtwKfHlv/DMrhBME8I94eQjY8zLCGj3CTNuYpTTttw==" saltValue="niVQlhrfmk9XHP93Y2u1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1</v>
      </c>
      <c r="F10" s="240">
        <f>IF(ISNUMBER(Datos!K10),Datos!K10," - ")</f>
        <v>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51.333333333333336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40.103321033210328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616</v>
      </c>
      <c r="D17" s="239">
        <f>IF(ISNUMBER(IF(D_I="SI",Datos!I17,Datos!I17+Datos!AC17)),IF(D_I="SI",Datos!I17,Datos!I17+Datos!AC17)," - ")</f>
        <v>616</v>
      </c>
      <c r="E17" s="240">
        <f>IF(ISNUMBER(IF(D_I="SI",Datos!J17,Datos!J17+Datos!AD17)),IF(D_I="SI",Datos!J17,Datos!J17+Datos!AD17)," - ")</f>
        <v>501</v>
      </c>
      <c r="F17" s="240">
        <f>IF(ISNUMBER(IF(D_I="SI",Datos!K17,Datos!K17+Datos!AE17)),IF(D_I="SI",Datos!K17,Datos!K17+Datos!AE17)," - ")</f>
        <v>455</v>
      </c>
      <c r="G17" s="1390" t="str">
        <f>IF(Datos!E17&lt;&gt;"",Datos!E17,Datos!D17)</f>
        <v>04</v>
      </c>
      <c r="H17" s="241">
        <f>IF(ISNUMBER(IF(D_I="SI",Datos!L17,Datos!L17+Datos!AF17)),IF(D_I="SI",Datos!L17,Datos!L17+Datos!AF17)," - ")</f>
        <v>662</v>
      </c>
      <c r="I17" s="1400" t="str">
        <f>IF(ISNUMBER(Datos!AS17/Datos!BM17),Datos!AS17/Datos!BM17," - ")</f>
        <v xml:space="preserve"> - </v>
      </c>
      <c r="J17" s="1401">
        <f>IF(ISNUMBER(Datos!BY17/Datos!CN17),Datos!BY17/Datos!CN17," - ")</f>
        <v>0</v>
      </c>
      <c r="K17" s="244">
        <f t="shared" si="3"/>
        <v>7.4675324675324672E-2</v>
      </c>
      <c r="L17" s="1402">
        <f>IF(ISNUMBER(NºAsuntos!I17/NºAsuntos!G17),(NºAsuntos!I17/NºAsuntos!G17)*11," - ")</f>
        <v>16.004395604395604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71</v>
      </c>
      <c r="F18" s="240">
        <f>IF(ISNUMBER(IF(D_I="SI",Datos!K18,Datos!K18+Datos!AE18)),IF(D_I="SI",Datos!K18,Datos!K18+Datos!AE18)," - ")</f>
        <v>62</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0.18</v>
      </c>
      <c r="L18" s="1402">
        <f>IF(ISNUMBER(NºAsuntos!I18/NºAsuntos!G18),(NºAsuntos!I18/NºAsuntos!G18)*11," - ")</f>
        <v>10.467741935483872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666</v>
      </c>
      <c r="D23" s="1407">
        <f>SUBTOTAL(9,D16:D22)</f>
        <v>666</v>
      </c>
      <c r="E23" s="1408">
        <f>SUBTOTAL(9,E16:E22)</f>
        <v>572</v>
      </c>
      <c r="F23" s="1408">
        <f>SUBTOTAL(9,F16:F22)</f>
        <v>517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682</v>
      </c>
      <c r="D31" s="1435">
        <f>SUBTOTAL(9,D9:D30)</f>
        <v>682</v>
      </c>
      <c r="E31" s="1436">
        <f>SUBTOTAL(9,E9:E30)</f>
        <v>573</v>
      </c>
      <c r="F31" s="1436">
        <f>SUBTOTAL(9,F9:F30)</f>
        <v>520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W+LdDVt9icEq6v0Fr6VHuigqyRHlS4hLGlr6yA//p7EiW8W/GtcHA4rZ3nKNJlv9+mn2mxU+YZgqQhfGj+bw==" saltValue="/5Dl4f6m54CFytaevZ3b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QgQhCmRVEGWxrkEBCK5aMzqCckGYZKIqLHGgjwms4beub22Wnm8DB/dsErkz/97IMhIw36bB38xVEqeE0gCzw==" saltValue="WF50SDqOLiLZEjE/gkuc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v>
      </c>
      <c r="K10" s="194">
        <v>3</v>
      </c>
      <c r="L10" s="194">
        <v>14</v>
      </c>
      <c r="M10" s="194">
        <v>3</v>
      </c>
      <c r="N10" s="194">
        <v>0</v>
      </c>
      <c r="O10" s="194">
        <v>0</v>
      </c>
      <c r="P10" s="194">
        <v>0</v>
      </c>
      <c r="Q10" s="194">
        <v>0</v>
      </c>
      <c r="R10" s="194">
        <v>19</v>
      </c>
      <c r="S10" s="194">
        <v>22</v>
      </c>
      <c r="T10" s="194">
        <v>1</v>
      </c>
      <c r="U10" s="194">
        <v>3</v>
      </c>
      <c r="V10" s="194">
        <v>20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1</v>
      </c>
      <c r="BA10" s="139">
        <f t="shared" si="0"/>
        <v>3</v>
      </c>
      <c r="BB10" s="139">
        <f t="shared" si="0"/>
        <v>20</v>
      </c>
      <c r="BC10" s="135">
        <f t="shared" si="0"/>
        <v>3</v>
      </c>
      <c r="BD10" s="136">
        <f>IF(ISNUMBER(BA10/AZ10),BA10/AZ10," - ")</f>
        <v>3</v>
      </c>
      <c r="BE10" s="137">
        <f>IF(ISNUMBER(BB10/BA10),BB10/BA10, " - ")</f>
        <v>6.666666666666667</v>
      </c>
      <c r="BF10" s="137">
        <f>IF(ISNUMBER(BC10/BA10),BC10/BA10, " - ")</f>
        <v>1</v>
      </c>
      <c r="BG10" s="209">
        <f>IF(ISNUMBER((AY10+AZ10)/BA10),(AY10+AZ10)/BA10," - ")</f>
        <v>7.666666666666667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1769</v>
      </c>
      <c r="J12" s="196">
        <v>537</v>
      </c>
      <c r="K12" s="196">
        <v>486</v>
      </c>
      <c r="L12" s="196">
        <v>1820</v>
      </c>
      <c r="M12" s="196">
        <v>153</v>
      </c>
      <c r="N12" s="196">
        <v>178</v>
      </c>
      <c r="O12" s="194">
        <v>233</v>
      </c>
      <c r="P12" s="196">
        <v>100</v>
      </c>
      <c r="Q12" s="196">
        <v>52</v>
      </c>
      <c r="R12" s="196">
        <v>2523</v>
      </c>
      <c r="S12" s="196">
        <v>1459</v>
      </c>
      <c r="T12" s="196">
        <v>391</v>
      </c>
      <c r="U12" s="196">
        <v>362</v>
      </c>
      <c r="V12" s="196">
        <v>1488</v>
      </c>
      <c r="W12" s="196">
        <v>157</v>
      </c>
      <c r="X12" s="202">
        <v>101</v>
      </c>
      <c r="Y12" s="204">
        <v>141</v>
      </c>
      <c r="Z12" s="194">
        <v>71</v>
      </c>
      <c r="AA12" s="194">
        <v>56</v>
      </c>
      <c r="AB12" s="194">
        <v>156</v>
      </c>
      <c r="AC12" s="196">
        <v>0</v>
      </c>
      <c r="AD12" s="196">
        <v>0</v>
      </c>
      <c r="AE12" s="196">
        <v>0</v>
      </c>
      <c r="AF12" s="202">
        <v>0</v>
      </c>
      <c r="AG12" s="215">
        <v>124</v>
      </c>
      <c r="AH12" s="196">
        <v>63</v>
      </c>
      <c r="AI12" s="196">
        <v>63</v>
      </c>
      <c r="AJ12" s="216">
        <v>124</v>
      </c>
      <c r="AK12" s="195">
        <v>0</v>
      </c>
      <c r="AL12" s="196">
        <v>0</v>
      </c>
      <c r="AM12" s="196">
        <v>0</v>
      </c>
      <c r="AN12" s="202">
        <v>0</v>
      </c>
      <c r="AO12" s="283">
        <v>3</v>
      </c>
      <c r="AP12" s="168">
        <v>3</v>
      </c>
      <c r="AQ12" s="168">
        <v>3</v>
      </c>
      <c r="AR12" s="167">
        <v>3</v>
      </c>
      <c r="AS12" s="381" t="s">
        <v>1075</v>
      </c>
      <c r="AT12" s="216"/>
      <c r="AU12" s="215"/>
      <c r="AV12" s="216"/>
      <c r="AW12" s="215"/>
      <c r="AX12" s="216"/>
      <c r="AY12" s="136">
        <f t="shared" si="1"/>
        <v>1583</v>
      </c>
      <c r="AZ12" s="137">
        <f t="shared" si="1"/>
        <v>454</v>
      </c>
      <c r="BA12" s="137">
        <f t="shared" si="1"/>
        <v>425</v>
      </c>
      <c r="BB12" s="137">
        <f t="shared" si="1"/>
        <v>1612</v>
      </c>
      <c r="BC12" s="135">
        <f>IF(ISNUMBER(X12),X12," - ")</f>
        <v>101</v>
      </c>
      <c r="BD12" s="136">
        <f t="shared" si="2"/>
        <v>0.93612334801762109</v>
      </c>
      <c r="BE12" s="137">
        <f t="shared" si="3"/>
        <v>3.7929411764705883</v>
      </c>
      <c r="BF12" s="137">
        <f t="shared" si="4"/>
        <v>0.23764705882352941</v>
      </c>
      <c r="BG12" s="209">
        <f t="shared" si="5"/>
        <v>4.7929411764705883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1785</v>
      </c>
      <c r="J14" s="197">
        <f t="shared" si="7"/>
        <v>538</v>
      </c>
      <c r="K14" s="197">
        <f t="shared" si="7"/>
        <v>489</v>
      </c>
      <c r="L14" s="197">
        <f t="shared" si="7"/>
        <v>1834</v>
      </c>
      <c r="M14" s="197">
        <f t="shared" si="7"/>
        <v>156</v>
      </c>
      <c r="N14" s="197">
        <f t="shared" si="7"/>
        <v>178</v>
      </c>
      <c r="O14" s="197">
        <f t="shared" si="7"/>
        <v>233</v>
      </c>
      <c r="P14" s="197">
        <f t="shared" si="7"/>
        <v>100</v>
      </c>
      <c r="Q14" s="197">
        <f t="shared" si="7"/>
        <v>52</v>
      </c>
      <c r="R14" s="197">
        <f t="shared" si="7"/>
        <v>2542</v>
      </c>
      <c r="S14" s="197">
        <f t="shared" si="7"/>
        <v>1481</v>
      </c>
      <c r="T14" s="197">
        <f t="shared" si="7"/>
        <v>392</v>
      </c>
      <c r="U14" s="197">
        <f t="shared" si="7"/>
        <v>365</v>
      </c>
      <c r="V14" s="197">
        <f t="shared" si="7"/>
        <v>1508</v>
      </c>
      <c r="W14" s="197">
        <f t="shared" si="7"/>
        <v>160</v>
      </c>
      <c r="X14" s="197">
        <f t="shared" si="7"/>
        <v>101</v>
      </c>
      <c r="Y14" s="197">
        <f t="shared" si="7"/>
        <v>141</v>
      </c>
      <c r="Z14" s="197">
        <f t="shared" si="7"/>
        <v>71</v>
      </c>
      <c r="AA14" s="197">
        <f t="shared" si="7"/>
        <v>56</v>
      </c>
      <c r="AB14" s="197">
        <f t="shared" si="7"/>
        <v>156</v>
      </c>
      <c r="AC14" s="197">
        <f t="shared" si="7"/>
        <v>0</v>
      </c>
      <c r="AD14" s="197">
        <f t="shared" si="7"/>
        <v>0</v>
      </c>
      <c r="AE14" s="197">
        <f t="shared" si="7"/>
        <v>0</v>
      </c>
      <c r="AF14" s="197">
        <f>SUBTOTAL(9,AF9:AF13)</f>
        <v>0</v>
      </c>
      <c r="AG14" s="197">
        <f t="shared" ref="AG14:AT14" si="8">SUBTOTAL(9,AG8:AG13)</f>
        <v>124</v>
      </c>
      <c r="AH14" s="197">
        <f t="shared" si="8"/>
        <v>63</v>
      </c>
      <c r="AI14" s="197">
        <f t="shared" si="8"/>
        <v>63</v>
      </c>
      <c r="AJ14" s="197">
        <f t="shared" si="8"/>
        <v>124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1605</v>
      </c>
      <c r="AZ14" s="197">
        <f>SUBTOTAL(9,AZ8:AZ13)</f>
        <v>455</v>
      </c>
      <c r="BA14" s="197">
        <f>SUBTOTAL(9,BA8:BA13)</f>
        <v>428</v>
      </c>
      <c r="BB14" s="197">
        <f>SUBTOTAL(9,BB8:BB13)</f>
        <v>1632</v>
      </c>
      <c r="BC14" s="197">
        <f>SUBTOTAL(9,BC8:BC13)</f>
        <v>104</v>
      </c>
      <c r="BD14" s="219">
        <f>IF(ISNUMBER(BA14/AZ14),BA14/AZ14," - ")</f>
        <v>0.94065934065934065</v>
      </c>
      <c r="BE14" s="220">
        <f>IF(ISNUMBER(BB14/BA14),BB14/BA14, " - ")</f>
        <v>3.8130841121495327</v>
      </c>
      <c r="BF14" s="220">
        <f>IF(ISNUMBER(BC14/BA14),BC14/BA14, " - ")</f>
        <v>0.24299065420560748</v>
      </c>
      <c r="BG14" s="221">
        <f>IF(ISNUMBER((AY14+AZ14)/BA14),(AY14+AZ14)/BA14," - ")</f>
        <v>4.8130841121495331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616</v>
      </c>
      <c r="J17" s="196">
        <v>501</v>
      </c>
      <c r="K17" s="196">
        <v>455</v>
      </c>
      <c r="L17" s="196">
        <v>662</v>
      </c>
      <c r="M17" s="196">
        <v>66</v>
      </c>
      <c r="N17" s="196">
        <v>292</v>
      </c>
      <c r="O17" s="194">
        <v>2</v>
      </c>
      <c r="P17" s="196">
        <v>9</v>
      </c>
      <c r="Q17" s="196">
        <v>10</v>
      </c>
      <c r="R17" s="196">
        <v>67</v>
      </c>
      <c r="S17" s="196">
        <v>533</v>
      </c>
      <c r="T17" s="196">
        <v>518</v>
      </c>
      <c r="U17" s="196">
        <v>545</v>
      </c>
      <c r="V17" s="196">
        <v>506</v>
      </c>
      <c r="W17" s="196">
        <v>79</v>
      </c>
      <c r="X17" s="202">
        <v>398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533</v>
      </c>
      <c r="AZ17" s="137">
        <f t="shared" si="10"/>
        <v>518</v>
      </c>
      <c r="BA17" s="137">
        <f t="shared" si="10"/>
        <v>545</v>
      </c>
      <c r="BB17" s="137">
        <f t="shared" si="10"/>
        <v>506</v>
      </c>
      <c r="BC17" s="135">
        <f>IF(ISNUMBER(W17),W17," - ")</f>
        <v>79</v>
      </c>
      <c r="BD17" s="136">
        <f t="shared" ref="BD17:BD22" si="12">IF(ISNUMBER(BA17/AZ17),BA17/AZ17," - ")</f>
        <v>1.0521235521235521</v>
      </c>
      <c r="BE17" s="137">
        <f t="shared" ref="BE17:BE22" si="13">IF(ISNUMBER(BB17/BA17),BB17/BA17, " - ")</f>
        <v>0.92844036697247712</v>
      </c>
      <c r="BF17" s="137">
        <f t="shared" ref="BF17:BF22" si="14">IF(ISNUMBER(BC17/BA17),BC17/BA17, " - ")</f>
        <v>0.14495412844036698</v>
      </c>
      <c r="BG17" s="209">
        <f t="shared" si="11"/>
        <v>1.928440366972477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71</v>
      </c>
      <c r="K18" s="196">
        <v>62</v>
      </c>
      <c r="L18" s="196">
        <v>59</v>
      </c>
      <c r="M18" s="196">
        <v>7</v>
      </c>
      <c r="N18" s="196">
        <v>40</v>
      </c>
      <c r="O18" s="196">
        <v>0</v>
      </c>
      <c r="P18" s="196">
        <v>0</v>
      </c>
      <c r="Q18" s="196">
        <v>0</v>
      </c>
      <c r="R18" s="196">
        <v>0</v>
      </c>
      <c r="S18" s="196">
        <v>61</v>
      </c>
      <c r="T18" s="196">
        <v>38</v>
      </c>
      <c r="U18" s="196">
        <v>47</v>
      </c>
      <c r="V18" s="196">
        <v>52</v>
      </c>
      <c r="W18" s="196">
        <v>1</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38</v>
      </c>
      <c r="BA18" s="139">
        <f t="shared" si="15"/>
        <v>47</v>
      </c>
      <c r="BB18" s="139">
        <f t="shared" si="15"/>
        <v>52</v>
      </c>
      <c r="BC18" s="135">
        <f>IF(ISNUMBER(W18),W18," - ")</f>
        <v>1</v>
      </c>
      <c r="BD18" s="136">
        <f>IF(ISNUMBER(BA18/AZ18),BA18/AZ18," - ")</f>
        <v>1.236842105263158</v>
      </c>
      <c r="BE18" s="137">
        <f>IF(ISNUMBER(BB18/BA18),BB18/BA18, " - ")</f>
        <v>1.1063829787234043</v>
      </c>
      <c r="BF18" s="137">
        <f>IF(ISNUMBER(BC18/BA18),BC18/BA18, " - ")</f>
        <v>2.1276595744680851E-2</v>
      </c>
      <c r="BG18" s="209">
        <f>IF(ISNUMBER((AY18+AZ18)/BA18),(AY18+AZ18)/BA18," - ")</f>
        <v>2.1063829787234041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666</v>
      </c>
      <c r="J23" s="197">
        <f t="shared" si="21"/>
        <v>572</v>
      </c>
      <c r="K23" s="197">
        <f t="shared" si="21"/>
        <v>517</v>
      </c>
      <c r="L23" s="197">
        <f t="shared" si="21"/>
        <v>721</v>
      </c>
      <c r="M23" s="197">
        <f t="shared" si="21"/>
        <v>73</v>
      </c>
      <c r="N23" s="197">
        <f t="shared" si="21"/>
        <v>332</v>
      </c>
      <c r="O23" s="197">
        <f t="shared" si="21"/>
        <v>2</v>
      </c>
      <c r="P23" s="197">
        <f t="shared" si="21"/>
        <v>9</v>
      </c>
      <c r="Q23" s="197">
        <f t="shared" si="21"/>
        <v>10</v>
      </c>
      <c r="R23" s="197">
        <f t="shared" si="21"/>
        <v>67</v>
      </c>
      <c r="S23" s="197">
        <f t="shared" si="21"/>
        <v>594</v>
      </c>
      <c r="T23" s="197">
        <f t="shared" si="21"/>
        <v>556</v>
      </c>
      <c r="U23" s="197">
        <f t="shared" si="21"/>
        <v>592</v>
      </c>
      <c r="V23" s="197">
        <f t="shared" si="21"/>
        <v>558</v>
      </c>
      <c r="W23" s="197">
        <f t="shared" si="21"/>
        <v>80</v>
      </c>
      <c r="X23" s="197">
        <f t="shared" si="21"/>
        <v>452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594</v>
      </c>
      <c r="AZ23" s="197">
        <f>SUBTOTAL(9,AZ15:AZ22)</f>
        <v>556</v>
      </c>
      <c r="BA23" s="197">
        <f>SUBTOTAL(9,BA15:BA22)</f>
        <v>592</v>
      </c>
      <c r="BB23" s="197">
        <f>SUBTOTAL(9,BB15:BB22)</f>
        <v>558</v>
      </c>
      <c r="BC23" s="197">
        <f>SUBTOTAL(9,BC15:BC22)</f>
        <v>80</v>
      </c>
      <c r="BD23" s="219">
        <f>IF(ISNUMBER(BA23/AZ23),BA23/AZ23," - ")</f>
        <v>1.064748201438849</v>
      </c>
      <c r="BE23" s="220">
        <f>IF(ISNUMBER(BB23/BA23),BB23/BA23, " - ")</f>
        <v>0.94256756756756754</v>
      </c>
      <c r="BF23" s="220">
        <f>IF(ISNUMBER(BC23/BA23),BC23/BA23, " - ")</f>
        <v>0.13513513513513514</v>
      </c>
      <c r="BG23" s="221">
        <f>IF(ISNUMBER((AY23+AZ23)/BA23),(AY23+AZ23)/BA23," - ")</f>
        <v>1.9425675675675675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2451</v>
      </c>
      <c r="J31" s="144">
        <f t="shared" si="36"/>
        <v>1110</v>
      </c>
      <c r="K31" s="144">
        <f t="shared" si="36"/>
        <v>1006</v>
      </c>
      <c r="L31" s="144">
        <f t="shared" si="36"/>
        <v>2555</v>
      </c>
      <c r="M31" s="144">
        <f t="shared" si="36"/>
        <v>229</v>
      </c>
      <c r="N31" s="144">
        <f t="shared" si="36"/>
        <v>510</v>
      </c>
      <c r="O31" s="144">
        <f t="shared" si="36"/>
        <v>235</v>
      </c>
      <c r="P31" s="144">
        <f t="shared" si="36"/>
        <v>109</v>
      </c>
      <c r="Q31" s="144">
        <f t="shared" si="36"/>
        <v>62</v>
      </c>
      <c r="R31" s="144">
        <f t="shared" si="36"/>
        <v>2609</v>
      </c>
      <c r="S31" s="144">
        <f t="shared" si="36"/>
        <v>2075</v>
      </c>
      <c r="T31" s="144">
        <f t="shared" si="36"/>
        <v>948</v>
      </c>
      <c r="U31" s="144">
        <f t="shared" si="36"/>
        <v>957</v>
      </c>
      <c r="V31" s="144">
        <f t="shared" si="36"/>
        <v>2066</v>
      </c>
      <c r="W31" s="144">
        <f t="shared" si="36"/>
        <v>240</v>
      </c>
      <c r="X31" s="144">
        <f t="shared" si="36"/>
        <v>553</v>
      </c>
      <c r="Y31" s="144">
        <f t="shared" si="36"/>
        <v>141</v>
      </c>
      <c r="Z31" s="144">
        <f t="shared" si="36"/>
        <v>71</v>
      </c>
      <c r="AA31" s="144">
        <f t="shared" si="36"/>
        <v>56</v>
      </c>
      <c r="AB31" s="144">
        <f t="shared" si="36"/>
        <v>156</v>
      </c>
      <c r="AC31" s="144">
        <f t="shared" si="36"/>
        <v>0</v>
      </c>
      <c r="AD31" s="144">
        <f t="shared" si="36"/>
        <v>0</v>
      </c>
      <c r="AE31" s="144">
        <f t="shared" si="36"/>
        <v>0</v>
      </c>
      <c r="AF31" s="144">
        <f t="shared" si="36"/>
        <v>0</v>
      </c>
      <c r="AG31" s="144">
        <f t="shared" si="36"/>
        <v>124</v>
      </c>
      <c r="AH31" s="144">
        <f t="shared" si="36"/>
        <v>63</v>
      </c>
      <c r="AI31" s="144">
        <f t="shared" si="36"/>
        <v>63</v>
      </c>
      <c r="AJ31" s="144">
        <f t="shared" si="36"/>
        <v>124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2199</v>
      </c>
      <c r="AZ31" s="144">
        <f>SUBTOTAL(9,AZ9:AZ30)</f>
        <v>1011</v>
      </c>
      <c r="BA31" s="144">
        <f>SUBTOTAL(9,BA9:BA30)</f>
        <v>1020</v>
      </c>
      <c r="BB31" s="144">
        <f>SUBTOTAL(9,BB9:BB30)</f>
        <v>2190</v>
      </c>
      <c r="BC31" s="145">
        <f>SUBTOTAL(9,BC9:BC30)</f>
        <v>184</v>
      </c>
      <c r="BD31" s="227">
        <f>IF(ISNUMBER(BA31/AZ31),BA31/AZ31," - ")</f>
        <v>1.0089020771513353</v>
      </c>
      <c r="BE31" s="224">
        <f>IF(ISNUMBER(BB31/BA31),BB31/BA31, " - ")</f>
        <v>2.1470588235294117</v>
      </c>
      <c r="BF31" s="224">
        <f>IF(ISNUMBER(BC31/BA31),BC31/BA31, " - ")</f>
        <v>0.1803921568627451</v>
      </c>
      <c r="BG31" s="145">
        <f>IF(ISNUMBER((AY31+AZ31)/BA31),(AY31+AZ31)/BA31," - ")</f>
        <v>3.1470588235294117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hbGWDxs8/ZY48XkJwZ8Ffx1zJWbQ/8Olb2g58EwqshAcoLpBobP8vsZb0d1Q4/jv2ElA5KFApLZVjurRMVXQ==" saltValue="ouQuIEzOkRgO+EiyO0kT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4Exb1gnvmObu6TG3xUUjNATHhDISLBSCZRnMutdjP2huDVsnlJe3C+rQNLsweUH37nnl0LeF2G8Kw+qqb6lg==" saltValue="1PtlWP3nPz/lON1wvmi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CANGAS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14</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14.000000000000002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71</v>
      </c>
      <c r="O12" s="549"/>
      <c r="P12" s="549"/>
      <c r="Q12" s="547">
        <f>IF(ISNUMBER(Datos!P12),Datos!P12,0)</f>
        <v>100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156</v>
      </c>
      <c r="AI12" s="549" t="str">
        <f>IF(ISNUMBER(Datos!CD12),Datos!CD12,"-")</f>
        <v>-</v>
      </c>
      <c r="AJ12" s="549" t="str">
        <f>IF(ISNUMBER(Datos!EN12),Datos!EN12," - ")</f>
        <v xml:space="preserve"> - </v>
      </c>
      <c r="AK12" s="549"/>
      <c r="AL12" s="550"/>
      <c r="AM12" s="766">
        <f>IF(ISNUMBER(Datos!R12),Datos!R12," - ")</f>
        <v>2523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153</v>
      </c>
      <c r="BD12" s="693">
        <f>IF(ISNUMBER(Datos!N12),Datos!N12," - ")</f>
        <v>178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0.89144736842105265</v>
      </c>
      <c r="BH12" s="764">
        <f>IF(ISNUMBER(((IF(J_V="SI",Datos!L12/Datos!K12,(Datos!L12+Datos!AB12)/(Datos!K12+Datos!AA12)))*11)/factor_trimestre),((IF(J_V="SI",Datos!L12/Datos!K12,(Datos!L12+Datos!AB12)/(Datos!K12+Datos!AA12)))*11)/factor_trimestre," - ")</f>
        <v>10.937269372693727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1.9393939393939394E-2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71</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52</v>
      </c>
      <c r="AD14" s="1198">
        <f t="shared" si="2"/>
        <v>0</v>
      </c>
      <c r="AE14" s="1198">
        <f t="shared" si="2"/>
        <v>0</v>
      </c>
      <c r="AF14" s="1198">
        <f t="shared" si="2"/>
        <v>14</v>
      </c>
      <c r="AG14" s="1198">
        <f t="shared" si="2"/>
        <v>0</v>
      </c>
      <c r="AH14" s="1198">
        <f t="shared" si="2"/>
        <v>156</v>
      </c>
      <c r="AI14" s="1198">
        <f t="shared" si="2"/>
        <v>0</v>
      </c>
      <c r="AJ14" s="1198">
        <f t="shared" si="2"/>
        <v>0</v>
      </c>
      <c r="AK14" s="1198">
        <f t="shared" si="2"/>
        <v>0</v>
      </c>
      <c r="AL14" s="1198">
        <f t="shared" si="2"/>
        <v>0</v>
      </c>
      <c r="AM14" s="1198">
        <f t="shared" si="2"/>
        <v>2542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156</v>
      </c>
      <c r="BD14" s="1198">
        <f t="shared" si="2"/>
        <v>178</v>
      </c>
      <c r="BE14" s="1198">
        <f t="shared" si="2"/>
        <v>0</v>
      </c>
      <c r="BF14" s="1198">
        <f t="shared" si="2"/>
        <v>0</v>
      </c>
      <c r="BG14" s="1198">
        <f>IF(ISNUMBER(Datos!K14/Datos!J14),Datos!K14/Datos!J14," - ")</f>
        <v>0.90892193308550184</v>
      </c>
      <c r="BH14" s="1202">
        <f>IF(ISNUMBER(((Datos!L14/Datos!K14)*11)/factor_trimestre),((Datos!L14/Datos!K14)*11)/factor_trimestre," - ")</f>
        <v>11.25153374233129</v>
      </c>
      <c r="BI14" s="1198">
        <f>IF(ISNUMBER('Resol  Asuntos'!D14/NºAsuntos!G14),'Resol  Asuntos'!D14/NºAsuntos!G14," - ")</f>
        <v>0.28623853211009176</v>
      </c>
      <c r="BJ14" s="1198" t="str">
        <f>IF(ISNUMBER(Datos!CI14/Datos!CJ14),Datos!CI14/Datos!CJ14," - ")</f>
        <v xml:space="preserve"> - </v>
      </c>
      <c r="BK14" s="1198">
        <f>SUBTOTAL(9,BK8:BK13)</f>
        <v>0</v>
      </c>
      <c r="BL14" s="1198">
        <f>IF(ISNUMBER((I14-AB14+L14)/(F14)),(I14-AB14+L14)/(F14)," - ")</f>
        <v>-0.1875</v>
      </c>
      <c r="BM14" s="1203">
        <f>SUBTOTAL(9,BM9:BM13)</f>
        <v>1.9393939393939394E-2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616</v>
      </c>
      <c r="G17" s="743">
        <f>IF(ISNUMBER(IF(D_I="SI",Datos!I17,Datos!I17+Datos!AC17)),IF(D_I="SI",Datos!I17,Datos!I17+Datos!AC17)," - ")</f>
        <v>616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455</v>
      </c>
      <c r="AC17" s="240">
        <f>IF(ISNUMBER(Datos!Q17),Datos!Q17," - ")</f>
        <v>10</v>
      </c>
      <c r="AD17" s="374"/>
      <c r="AE17" s="562"/>
      <c r="AF17" s="741">
        <f>IF(ISNUMBER(IF(D_I="SI",Datos!L17,Datos!L17+Datos!AF17)),IF(D_I="SI",Datos!L17,Datos!L17+Datos!AF17)," - ")</f>
        <v>662</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292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0.90818363273453095</v>
      </c>
      <c r="BH17" s="764">
        <f>IF(ISNUMBER(((IF(D_I="SI",Datos!L17/Datos!K17,(Datos!L17+Datos!AF17)/(Datos!K17+Datos!AE17)))*11)/factor_trimestre),((IF(D_I="SI",Datos!L17/Datos!K17,(Datos!L17+Datos!AF17)/(Datos!K17+Datos!AE17)))*11)/factor_trimestre," - ")</f>
        <v>4.3648351648351653</v>
      </c>
      <c r="BI17" s="266">
        <f>IF(ISNUMBER('Resol  Asuntos'!D17/NºAsuntos!G17),'Resol  Asuntos'!D17/NºAsuntos!G17," - ")</f>
        <v>0.14505494505494507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0</v>
      </c>
      <c r="AD18" s="549"/>
      <c r="AE18" s="562"/>
      <c r="AF18" s="551">
        <f>IF(ISNUMBER(Datos!L18),Datos!L18,"-")</f>
        <v>59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0.87323943661971826</v>
      </c>
      <c r="BH18" s="764">
        <f>IF(ISNUMBER(((IF(D_I="SI",Datos!L18/Datos!K18,(Datos!L18+Datos!AF18)/(Datos!K18+Datos!AE18)))*11)/factor_trimestre),((IF(D_I="SI",Datos!L18/Datos!K18,(Datos!L18+Datos!AF18)/(Datos!K18+Datos!AE18)))*11)/factor_trimestre," - ")</f>
        <v>2.8548387096774199</v>
      </c>
      <c r="BI18" s="763">
        <f>IF(ISNUMBER('Resol  Asuntos'!D18/NºAsuntos!G18),'Resol  Asuntos'!D18/NºAsuntos!G18," - ")</f>
        <v>0.11290322580645161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616</v>
      </c>
      <c r="G23" s="1197">
        <f>SUBTOTAL(9,G16:G22)</f>
        <v>666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517</v>
      </c>
      <c r="AC23" s="1198">
        <f t="shared" si="5"/>
        <v>10</v>
      </c>
      <c r="AD23" s="1198">
        <f t="shared" si="5"/>
        <v>0</v>
      </c>
      <c r="AE23" s="1198">
        <f t="shared" si="5"/>
        <v>0</v>
      </c>
      <c r="AF23" s="1198">
        <f t="shared" si="5"/>
        <v>721</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332</v>
      </c>
      <c r="BE23" s="1198">
        <f t="shared" si="5"/>
        <v>0</v>
      </c>
      <c r="BF23" s="1198">
        <f t="shared" si="5"/>
        <v>0</v>
      </c>
      <c r="BG23" s="1198">
        <f>IF(ISNUMBER(Datos!K23/Datos!J23),Datos!K23/Datos!J23," - ")</f>
        <v>0.90384615384615385</v>
      </c>
      <c r="BH23" s="1202">
        <f>IF(ISNUMBER(((Datos!L23/Datos!K23)*11)/factor_trimestre),((Datos!L23/Datos!K23)*11)/factor_trimestre," - ")</f>
        <v>4.1837524177949712</v>
      </c>
      <c r="BI23" s="1198">
        <f>SUBTOTAL(9,BI16:BI22)</f>
        <v>0.25795817086139666</v>
      </c>
      <c r="BJ23" s="1198">
        <f>SUBTOTAL(9,BJ16:BJ22)</f>
        <v>0</v>
      </c>
      <c r="BK23" s="1198">
        <f>SUBTOTAL(9,BK16:BK22)</f>
        <v>0</v>
      </c>
      <c r="BL23" s="1198">
        <f>IF(ISNUMBER((I23-AB23+L23)/(F23)),(I23-AB23+L23)/(F23)," - ")</f>
        <v>-0.8392857142857143</v>
      </c>
      <c r="BM23" s="1205">
        <f>IF(ISNUMBER((Datos!P23-Datos!Q23)/(Datos!R23-Datos!P23+Datos!Q23)),(Datos!P23-Datos!Q23)/(Datos!R23-Datos!P23+Datos!Q23)," - ")</f>
        <v>-1.4705882352941176E-2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632</v>
      </c>
      <c r="G31" s="1117">
        <f t="shared" si="18"/>
        <v>682</v>
      </c>
      <c r="H31" s="1119">
        <f t="shared" si="18"/>
        <v>0</v>
      </c>
      <c r="I31" s="1117">
        <f t="shared" si="18"/>
        <v>0</v>
      </c>
      <c r="J31" s="1119">
        <f t="shared" si="18"/>
        <v>0</v>
      </c>
      <c r="K31" s="1119">
        <f t="shared" si="18"/>
        <v>0</v>
      </c>
      <c r="L31" s="1180">
        <f t="shared" si="18"/>
        <v>0</v>
      </c>
      <c r="M31" s="1180">
        <f t="shared" si="18"/>
        <v>0</v>
      </c>
      <c r="N31" s="1180">
        <f t="shared" si="18"/>
        <v>71</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520</v>
      </c>
      <c r="AC31" s="1118">
        <f t="shared" si="19"/>
        <v>62</v>
      </c>
      <c r="AD31" s="1118">
        <f t="shared" si="19"/>
        <v>0</v>
      </c>
      <c r="AE31" s="1118">
        <f t="shared" si="19"/>
        <v>0</v>
      </c>
      <c r="AF31" s="1125">
        <f t="shared" si="19"/>
        <v>735</v>
      </c>
      <c r="AG31" s="1125">
        <f t="shared" si="19"/>
        <v>0</v>
      </c>
      <c r="AH31" s="1125">
        <f t="shared" si="19"/>
        <v>156</v>
      </c>
      <c r="AI31" s="1125">
        <f t="shared" si="19"/>
        <v>0</v>
      </c>
      <c r="AJ31" s="1118">
        <f t="shared" si="19"/>
        <v>0</v>
      </c>
      <c r="AK31" s="1125">
        <f t="shared" si="19"/>
        <v>0</v>
      </c>
      <c r="AL31" s="1125">
        <f t="shared" si="19"/>
        <v>0</v>
      </c>
      <c r="AM31" s="1125">
        <f t="shared" si="19"/>
        <v>2609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229</v>
      </c>
      <c r="BD31" s="1117">
        <f t="shared" si="19"/>
        <v>510</v>
      </c>
      <c r="BE31" s="1117">
        <f t="shared" si="19"/>
        <v>0</v>
      </c>
      <c r="BF31" s="1127">
        <f t="shared" si="19"/>
        <v>0</v>
      </c>
      <c r="BG31" s="1223">
        <f>IF(ISNUMBER(Datos!K31/Datos!J31),Datos!K31/Datos!J31," - ")</f>
        <v>0.90630630630630626</v>
      </c>
      <c r="BH31" s="1223">
        <f>IF(ISNUMBER(((Datos!L31/Datos!K31)*11)/factor_trimestre),((Datos!L31/Datos!K31)*11)/factor_trimestre," - ")</f>
        <v>7.6192842942345926</v>
      </c>
      <c r="BI31" s="1103">
        <f>IF(ISNUMBER(Datos!J31/Datos!I31),Datos!J31/Datos!I31," - ")</f>
        <v>0.45287637698898409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-0.82278481012658233</v>
      </c>
      <c r="BM31" s="1188">
        <f>IF(ISNUMBER((Datos!P31-Datos!Q31+R31)/(Datos!R31-Datos!P31+Datos!Q31-R31)),(Datos!P31-Datos!Q31+R31)/(Datos!R31-Datos!P31+Datos!Q31-R31)," - ")</f>
        <v>1.8345042935206869E-2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314.05137583947419</v>
      </c>
      <c r="G33" s="674">
        <f>IF(ISNUMBER(STDEV(G8:G30)),STDEV(G8:G30),"-")</f>
        <v>305.57019301159409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232.25765659633063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66.83401614661291</v>
      </c>
      <c r="BD33" s="673"/>
      <c r="BE33" s="673">
        <f>IF(ISNUMBER(STDEV(BE8:BE30)),STDEV(BE8:BE30),"-")</f>
        <v>0</v>
      </c>
      <c r="BF33" s="678">
        <f>IF(ISNUMBER(STDEV(BF8:BF30)),STDEV(BF8:BF30),"-")</f>
        <v>0</v>
      </c>
      <c r="BG33" s="1052">
        <f>IF(ISNUMBER(STDEV(BG8:BG30)),STDEV(BG8:BG30),"-")</f>
        <v>0.85859994156415398</v>
      </c>
      <c r="BH33" s="1058">
        <f>IF(ISNUMBER(STDEV(BH8:BH30)),STDEV(BH8:BH30),"-")</f>
        <v>4.6781014081964516</v>
      </c>
      <c r="BI33" s="273">
        <f>IF(ISNUMBER(STDEV(BI8:BI30)),STDEV(BI8:BI30),"-")</f>
        <v>8.4458826769083797E-2</v>
      </c>
      <c r="BJ33" s="244" t="str">
        <f>IF(ISNUMBER(BL33/BM33),BL33/BM33," - ")</f>
        <v xml:space="preserve"> - </v>
      </c>
      <c r="BK33" s="709"/>
      <c r="BL33" s="681">
        <f>IF(ISNUMBER(STDEV(BL8:BL30)),STDEV(BL8:BL30),"-")</f>
        <v>0.46088209845194605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kLowGURYUk9ac4FNp/cYETcAdPrTlzP3DXKlrXxx1jJELDdo4HfwH+t+X4B3OJYEKHr4sMpZVF3mfrfr/xbqQ==" saltValue="/yJVo+XE+rAI0S2WWU2g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CANGAS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14</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14.000000000000002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v>
      </c>
      <c r="AA12" s="551" t="str">
        <f>IF(ISNUMBER(IF(J_V="SI",Datos!L12,Datos!L12+Datos!AB12)-IF(Monitorios="SI",Datos!CD12,0)),
                          IF(J_V="SI",Datos!L12,Datos!L12+Datos!AB12)-IF(Monitorios="SI",Datos!CD12,0),
                          " - ")</f>
        <v xml:space="preserve"> - </v>
      </c>
      <c r="AB12" s="549"/>
      <c r="AC12" s="549"/>
      <c r="AD12" s="563"/>
      <c r="AE12" s="563">
        <f>IF(ISNUMBER(Datos!R12),Datos!R12," - ")</f>
        <v>2523</v>
      </c>
      <c r="AF12" s="693" t="str">
        <f>IF(ISNUMBER(Datos!BV12),Datos!BV12," - ")</f>
        <v xml:space="preserve"> - </v>
      </c>
      <c r="AG12" s="552" t="str">
        <f>IF(ISNUMBER(Datos!DV12),Datos!DV12," - ")</f>
        <v xml:space="preserve"> - </v>
      </c>
      <c r="AH12" s="553"/>
      <c r="AI12" s="554"/>
      <c r="AJ12" s="552">
        <f>IF(ISNUMBER(Datos!M12),Datos!M12," - ")</f>
        <v>153</v>
      </c>
      <c r="AK12" s="693">
        <f>IF(ISNUMBER(Datos!N12),Datos!N12," - ")</f>
        <v>178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10.937269372693727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1.9393939393939394E-2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52</v>
      </c>
      <c r="AA14" s="1199">
        <f t="shared" si="3"/>
        <v>14</v>
      </c>
      <c r="AB14" s="1199">
        <f t="shared" si="3"/>
        <v>0</v>
      </c>
      <c r="AC14" s="1199">
        <f t="shared" si="3"/>
        <v>0</v>
      </c>
      <c r="AD14" s="1199">
        <f t="shared" si="3"/>
        <v>0</v>
      </c>
      <c r="AE14" s="1199">
        <f t="shared" si="3"/>
        <v>2542</v>
      </c>
      <c r="AF14" s="1211">
        <f t="shared" si="3"/>
        <v>0</v>
      </c>
      <c r="AG14" s="1211">
        <f t="shared" si="3"/>
        <v>0</v>
      </c>
      <c r="AH14" s="1211">
        <f t="shared" si="3"/>
        <v>0</v>
      </c>
      <c r="AI14" s="1211">
        <f t="shared" si="3"/>
        <v>0</v>
      </c>
      <c r="AJ14" s="1211">
        <f t="shared" si="3"/>
        <v>156</v>
      </c>
      <c r="AK14" s="1211">
        <f t="shared" si="3"/>
        <v>178</v>
      </c>
      <c r="AL14" s="1211">
        <f t="shared" si="3"/>
        <v>0</v>
      </c>
      <c r="AM14" s="1211">
        <f t="shared" si="3"/>
        <v>0</v>
      </c>
      <c r="AN14" s="1211">
        <f t="shared" si="3"/>
        <v>0</v>
      </c>
      <c r="AO14" s="1203">
        <f>IF(ISNUMBER(((NºAsuntos!I14/NºAsuntos!G14)*11)/factor_trimestre),((NºAsuntos!I14/NºAsuntos!G14)*11)/factor_trimestre," - ")</f>
        <v>10.954128440366972</v>
      </c>
      <c r="AP14" s="1213" t="str">
        <f>IF(ISNUMBER(Datos!CI14/Datos!CJ14),Datos!CI14/Datos!CJ14," - ")</f>
        <v xml:space="preserve"> - </v>
      </c>
      <c r="AQ14" s="1236">
        <f t="shared" ref="AQ14:AV14" si="4">SUBTOTAL(9,AQ9:AQ13)</f>
        <v>0</v>
      </c>
      <c r="AR14" s="1236">
        <f t="shared" si="4"/>
        <v>1.9393939393939394E-2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616</v>
      </c>
      <c r="G17" s="552">
        <f>IF(ISNUMBER(IF(D_I="SI",Datos!I17,Datos!I17+Datos!AC17)),IF(D_I="SI",Datos!I17,Datos!I17+Datos!AC17)," - ")</f>
        <v>616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455</v>
      </c>
      <c r="Z17" s="805">
        <f>IF(ISNUMBER(Datos!Q17),Datos!Q17," - ")</f>
        <v>10</v>
      </c>
      <c r="AA17" s="551">
        <f>IF(ISNUMBER(IF(D_I="SI",Datos!L17,Datos!L17+Datos!AF17)),IF(D_I="SI",Datos!L17,Datos!L17+Datos!AF17)," - ")</f>
        <v>662</v>
      </c>
      <c r="AB17" s="549"/>
      <c r="AC17" s="549"/>
      <c r="AD17" s="563"/>
      <c r="AE17" s="563">
        <f>IF(ISNUMBER(Datos!R17),Datos!R17," - ")</f>
        <v>67</v>
      </c>
      <c r="AF17" s="693" t="str">
        <f>IF(ISNUMBER(Datos!BV17),Datos!BV17," - ")</f>
        <v xml:space="preserve"> - </v>
      </c>
      <c r="AG17" s="552"/>
      <c r="AH17" s="553"/>
      <c r="AI17" s="554"/>
      <c r="AJ17" s="552">
        <f>IF(ISNUMBER(Datos!M17),Datos!M17," - ")</f>
        <v>66</v>
      </c>
      <c r="AK17" s="693">
        <f>IF(ISNUMBER(Datos!N17),Datos!N17," - ")</f>
        <v>292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4.3648351648351653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0</v>
      </c>
      <c r="AA18" s="551">
        <f>IF(ISNUMBER(Datos!L18),Datos!L18,"-")</f>
        <v>59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2.8548387096774199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616</v>
      </c>
      <c r="G23" s="1197">
        <f>SUBTOTAL(9,G16:G22)</f>
        <v>666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517</v>
      </c>
      <c r="Z23" s="1240">
        <f t="shared" si="6"/>
        <v>10</v>
      </c>
      <c r="AA23" s="1240">
        <f t="shared" si="6"/>
        <v>721</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73</v>
      </c>
      <c r="AK23" s="1240">
        <f t="shared" si="6"/>
        <v>332</v>
      </c>
      <c r="AL23" s="1240">
        <f t="shared" si="6"/>
        <v>0</v>
      </c>
      <c r="AM23" s="1240">
        <f t="shared" si="6"/>
        <v>0</v>
      </c>
      <c r="AN23" s="1240">
        <f t="shared" si="6"/>
        <v>0</v>
      </c>
      <c r="AO23" s="1242">
        <f>IF(ISNUMBER(((NºAsuntos!I23/NºAsuntos!G23)*11)/factor_trimestre),((NºAsuntos!I23/NºAsuntos!G23)*11)/factor_trimestre," - ")</f>
        <v>4.1837524177949712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632</v>
      </c>
      <c r="G31" s="1117">
        <f t="shared" si="12"/>
        <v>682</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520</v>
      </c>
      <c r="Z31" s="1124">
        <f t="shared" si="13"/>
        <v>62</v>
      </c>
      <c r="AA31" s="1125">
        <f t="shared" si="13"/>
        <v>735</v>
      </c>
      <c r="AB31" s="1125">
        <f t="shared" si="13"/>
        <v>0</v>
      </c>
      <c r="AC31" s="1125">
        <f t="shared" si="13"/>
        <v>0</v>
      </c>
      <c r="AD31" s="1126">
        <f t="shared" si="13"/>
        <v>0</v>
      </c>
      <c r="AE31" s="1126">
        <f t="shared" si="13"/>
        <v>2609</v>
      </c>
      <c r="AF31" s="1127">
        <f t="shared" si="13"/>
        <v>0</v>
      </c>
      <c r="AG31" s="1128">
        <f t="shared" si="13"/>
        <v>0</v>
      </c>
      <c r="AH31" s="1129">
        <f t="shared" si="13"/>
        <v>0</v>
      </c>
      <c r="AI31" s="1127">
        <f t="shared" si="13"/>
        <v>0</v>
      </c>
      <c r="AJ31" s="1117">
        <f t="shared" si="13"/>
        <v>229</v>
      </c>
      <c r="AK31" s="1117">
        <f t="shared" si="13"/>
        <v>510</v>
      </c>
      <c r="AL31" s="1117">
        <f t="shared" si="13"/>
        <v>0</v>
      </c>
      <c r="AM31" s="1130">
        <f t="shared" si="13"/>
        <v>0</v>
      </c>
      <c r="AN31" s="1120">
        <f>IF(ISNUMBER(Datos!K31/Datos!J31),Datos!K31/Datos!J31," - ")</f>
        <v>0.90630630630630626</v>
      </c>
      <c r="AO31" s="1120">
        <f>IF(ISNUMBER(FIND("06",Criterios!A8,1)),(IF(ISNUMBER(((Datos!R31/Datos!Q31)*11)/factor_trimestre),((Datos!R31/Datos!Q31)*11)/factor_trimestre," - ")),(IF(ISNUMBER(((Datos!L31/Datos!K31)*11)/factor_trimestre),((Datos!L31/Datos!K31)*11)/factor_trimestre," - ")))</f>
        <v>7.6192842942345926</v>
      </c>
      <c r="AP31" s="1131" t="str">
        <f>IF(ISNUMBER(Datos!CI31/Datos!CJ31),Datos!CI31/Datos!CJ31," - ")</f>
        <v xml:space="preserve"> - </v>
      </c>
      <c r="AQ31" s="1131">
        <f>IF(OR(ISNUMBER(FIND("01",Criterios!A8,1)),ISNUMBER(FIND("02",Criterios!A8,1)),ISNUMBER(FIND("03",Criterios!A8,1)),ISNUMBER(FIND("04",Criterios!A8,1))),(J31-Y31+K31)/(F31-K31),(I31-Y31+K31)/(F31-K31))</f>
        <v>-0.82278481012658233</v>
      </c>
      <c r="AR31" s="1131">
        <f>IF(ISNUMBER((Datos!P31-Datos!Q31+O31)/(Datos!R31-Datos!P31+Datos!Q31-O31)),(Datos!P31-Datos!Q31+O31)/(Datos!R31-Datos!P31+Datos!Q31-O31)," - ")</f>
        <v>1.8345042935206869E-2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314.05137583947419</v>
      </c>
      <c r="G33" s="674">
        <f>IF(ISNUMBER(STDEV(G8:G30)),STDEV(G8:G30),"-")</f>
        <v>305.57019301159409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66.83401614661291</v>
      </c>
      <c r="AK33" s="276"/>
      <c r="AL33" s="276">
        <f>IF(ISNUMBER(STDEV(AL8:AL30)),STDEV(AL8:AL30),"-")</f>
        <v>0</v>
      </c>
      <c r="AM33" s="278">
        <f>IF(ISNUMBER(STDEV(AM8:AM30)),STDEV(AM8:AM30),"-")</f>
        <v>0</v>
      </c>
      <c r="AN33" s="660">
        <f>IF(ISNUMBER(STDEV(AN8:AN30)),STDEV(AN8:AN30),"-")</f>
        <v>0</v>
      </c>
      <c r="AO33" s="661">
        <f>IF(ISNUMBER(STDEV(AO8:AO30)),STDEV(AO8:AO30),"-")</f>
        <v>4.6372923362775671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LZgjMipH/pc9BKhhkwoF9SrgieNs4YC7iUbKlyrRa0TiRbMjo8cNlxbhJFgrcIiaEZZWmMx5lyjjxstRShcRw==" saltValue="XyVc/srn0tZPODf7i5tf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7zzayn8TTtCZtKL0aWIWp6sCfJ+sh0y1fpp0wh7NoWjFDwHgmn0TC9IrxYtWVbZdXSQvHeP29emVwHJSHOL9w==" saltValue="7Y/xHhfQ8tPJlQHDlrSt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7JmJxX9flhudoa+ryhXnQaCwHF8bReSI2aM8IjLw98a8RSdTkWY47PpJGkYbYEDvhFwquZoBRI08GLlgLFCQ==" saltValue="faVwBxtunY+p6H0ddi+o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CANGAS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0.28623853211009176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0.20240120709192921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7h36MHrG24rEq6/dvNcILjl+AmnyLefPLZbRjFqveMV22LnXB4sSoNA4E8N7727+3X20Gtzm6Dko/9frNXoIg==" saltValue="F4MKuviB4RI6e8Wape/m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A5Szn7vVM8pg3PgqKqXKj5cERL4RyZt75xNxuDl0nx0cBmuKz5KuzAg8iv7BYTyoM6rqcG1cG0vXf9lGEvv8g==" saltValue="h3STAmtMhbBdhL0GWJ78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CANGAS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v>
      </c>
      <c r="F10" s="452">
        <f>IF(ISNUMBER(E10/B10),E10/B10," - ")</f>
        <v>1</v>
      </c>
      <c r="G10" s="451">
        <f>IF(ISNUMBER(Datos!K10),Datos!K10," - ")</f>
        <v>3</v>
      </c>
      <c r="H10" s="452">
        <f>IF(ISNUMBER(G10/B10),G10/B10," - ")</f>
        <v>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1910</v>
      </c>
      <c r="D12" s="452">
        <f>IF(ISNUMBER(C12/Datos!BH12),C12/Datos!BH12," - ")</f>
        <v>636.66666666666663</v>
      </c>
      <c r="E12" s="451">
        <f>IF(ISNUMBER(IF(J_V="SI",Datos!J12,Datos!J12+Datos!Z12)),IF(J_V="SI",Datos!J12,Datos!J12+Datos!Z12)," - ")</f>
        <v>608</v>
      </c>
      <c r="F12" s="452">
        <f>IF(ISNUMBER(E12/B12),E12/B12," - ")</f>
        <v>202.66666666666666</v>
      </c>
      <c r="G12" s="451">
        <f>IF(ISNUMBER(IF(J_V="SI",Datos!K12,Datos!K12+Datos!AA12)),IF(J_V="SI",Datos!K12,Datos!K12+Datos!AA12)," - ")</f>
        <v>542</v>
      </c>
      <c r="H12" s="452">
        <f>IF(ISNUMBER(G12/B12),G12/B12," - ")</f>
        <v>180.66666666666666</v>
      </c>
      <c r="I12" s="451">
        <f>IF(ISNUMBER(IF(J_V="SI",Datos!L12,Datos!L12+Datos!AB12)),IF(J_V="SI",Datos!L12,Datos!L12+Datos!AB12)," - ")</f>
        <v>1976</v>
      </c>
      <c r="J12" s="452">
        <f>IF(ISNUMBER(I12/B12),I12/B12," - ")</f>
        <v>658.66666666666663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1926</v>
      </c>
      <c r="D14" s="1147" t="str">
        <f>IF(ISNUMBER(C14/Datos!BI14),C14/Datos!BI14," - ")</f>
        <v xml:space="preserve"> - </v>
      </c>
      <c r="E14" s="1146">
        <f>SUBTOTAL(9,E8:E13)</f>
        <v>609</v>
      </c>
      <c r="F14" s="1147">
        <f>IF(ISNUMBER(E14/B14),E14/B14," - ")</f>
        <v>203</v>
      </c>
      <c r="G14" s="1146">
        <f>SUBTOTAL(9,G8:G13)</f>
        <v>545</v>
      </c>
      <c r="H14" s="1147">
        <f>IF(ISNUMBER(G14/B14),G14/B14," - ")</f>
        <v>181.66666666666666</v>
      </c>
      <c r="I14" s="1146">
        <f>SUBTOTAL(9,I8:I13)</f>
        <v>1990</v>
      </c>
      <c r="J14" s="1147">
        <f>IF(ISNUMBER(I14/B14),I14/B14," - ")</f>
        <v>663.33333333333337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616</v>
      </c>
      <c r="D17" s="452">
        <f>IF(ISNUMBER(C17/Datos!BH17),C17/Datos!BH17," - ")</f>
        <v>205.33333333333334</v>
      </c>
      <c r="E17" s="451">
        <f>IF(ISNUMBER(IF(D_I="SI",Datos!J17,Datos!J17+Datos!AD17)),IF(D_I="SI",Datos!J17,Datos!J17+Datos!AD17)," - ")</f>
        <v>501</v>
      </c>
      <c r="F17" s="452">
        <f>IF(ISNUMBER(E17/B17),E17/B17," - ")</f>
        <v>167</v>
      </c>
      <c r="G17" s="451">
        <f>IF(ISNUMBER(IF(D_I="SI",Datos!K17,Datos!K17+Datos!AE17)),IF(D_I="SI",Datos!K17,Datos!K17+Datos!AE17)," - ")</f>
        <v>455</v>
      </c>
      <c r="H17" s="452">
        <f>IF(ISNUMBER(G17/B17),G17/B17," - ")</f>
        <v>151.66666666666666</v>
      </c>
      <c r="I17" s="451">
        <f>IF(ISNUMBER(IF(D_I="SI",Datos!L17,Datos!L17+Datos!AF17)),IF(D_I="SI",Datos!L17,Datos!L17+Datos!AF17)," - ")</f>
        <v>662</v>
      </c>
      <c r="J17" s="452">
        <f>IF(ISNUMBER(I17/B17),I17/B17," - ")</f>
        <v>220.66666666666666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71</v>
      </c>
      <c r="F18" s="452">
        <f>IF(ISNUMBER(E18/B18),E18/B18," - ")</f>
        <v>71</v>
      </c>
      <c r="G18" s="451">
        <f>IF(ISNUMBER(IF(D_I="SI",Datos!K18,Datos!K18+Datos!AE18)),IF(D_I="SI",Datos!K18,Datos!K18+Datos!AE18)," - ")</f>
        <v>62</v>
      </c>
      <c r="H18" s="452">
        <f>IF(ISNUMBER(G18/B18),G18/B18," - ")</f>
        <v>62</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666</v>
      </c>
      <c r="D23" s="1147" t="str">
        <f>IF(ISNUMBER(C23/Datos!BI23),C23/Datos!BI23," - ")</f>
        <v xml:space="preserve"> - </v>
      </c>
      <c r="E23" s="1146">
        <f>SUBTOTAL(9,E15:E22)</f>
        <v>572</v>
      </c>
      <c r="F23" s="1147">
        <f>IF(ISNUMBER(E23/B23),E23/B23," - ")</f>
        <v>190.66666666666666</v>
      </c>
      <c r="G23" s="1146">
        <f>SUBTOTAL(9,G15:G22)</f>
        <v>517</v>
      </c>
      <c r="H23" s="1147">
        <f>IF(ISNUMBER(G23/B23),G23/B23," - ")</f>
        <v>172.33333333333334</v>
      </c>
      <c r="I23" s="1146">
        <f>SUBTOTAL(9,I15:I22)</f>
        <v>721</v>
      </c>
      <c r="J23" s="1147">
        <f>IF(ISNUMBER(I23/B23),I23/B23," - ")</f>
        <v>240.33333333333334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2592</v>
      </c>
      <c r="D31" s="1085" t="str">
        <f>IF(ISNUMBER(C31/Datos!BI31),C31/Datos!BI31," - ")</f>
        <v xml:space="preserve"> - </v>
      </c>
      <c r="E31" s="1084">
        <f>SUBTOTAL(9,E9:E30)</f>
        <v>1181</v>
      </c>
      <c r="F31" s="1085">
        <f>IF(ISNUMBER(E31/B31),E31/B31," - ")</f>
        <v>393.66666666666669</v>
      </c>
      <c r="G31" s="1084">
        <f>SUBTOTAL(9,G9:G30)</f>
        <v>1062</v>
      </c>
      <c r="H31" s="1085">
        <f>IF(ISNUMBER(G31/B31),G31/B31," - ")</f>
        <v>354</v>
      </c>
      <c r="I31" s="1084">
        <f>SUBTOTAL(9,I9:I30)</f>
        <v>2711</v>
      </c>
      <c r="J31" s="1085">
        <f>IF(ISNUMBER(I31/B31),I31/B31," - ")</f>
        <v>903.66666666666663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LvMTMBc+varOTrRT8eJkXkBcSXEI6aHS8Jrqfdj42qcVtTz6AYeJjQmCfr7t3yJhJZNFMNOvoXAlA6rOCCS6g==" saltValue="OswXGr3/CzLDfIvCvDpg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CANGAS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14.000000000000002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153</v>
      </c>
      <c r="AM12" s="914">
        <f>IF(ISNUMBER(Datos!N12+DatosP!N17),Datos!N12+DatosP!N17," - ")</f>
        <v>178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10.937269372693727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1.9393939393939394E-2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52</v>
      </c>
      <c r="AE14" s="1257">
        <f t="shared" si="1"/>
        <v>0</v>
      </c>
      <c r="AF14" s="1257">
        <f t="shared" si="1"/>
        <v>14</v>
      </c>
      <c r="AG14" s="1257">
        <f t="shared" si="1"/>
        <v>0</v>
      </c>
      <c r="AH14" s="1257">
        <f t="shared" si="1"/>
        <v>2523</v>
      </c>
      <c r="AI14" s="1257">
        <f t="shared" si="1"/>
        <v>0</v>
      </c>
      <c r="AJ14" s="1257">
        <f t="shared" si="1"/>
        <v>0</v>
      </c>
      <c r="AK14" s="1257">
        <f t="shared" si="1"/>
        <v>0</v>
      </c>
      <c r="AL14" s="1257">
        <f t="shared" si="1"/>
        <v>156</v>
      </c>
      <c r="AM14" s="1257">
        <f t="shared" si="1"/>
        <v>178</v>
      </c>
      <c r="AN14" s="1257">
        <f t="shared" si="1"/>
        <v>0</v>
      </c>
      <c r="AO14" s="1257">
        <f t="shared" si="1"/>
        <v>0</v>
      </c>
      <c r="AP14" s="1262">
        <f>IF(ISNUMBER(((Datos!L14/Datos!K14)*11)/factor_trimestre),((Datos!L14/Datos!K14)*11)/factor_trimestre," - ")</f>
        <v>11.25153374233129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1.9393939393939394E-2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4.1837524177949712</v>
      </c>
      <c r="AQ23" s="1262">
        <f>IF(ISNUMBER(((Datos!M23/Datos!L23)*11)/factor_trimestre),((Datos!M23/Datos!L23)*11)/factor_trimestre," - ")</f>
        <v>0.30374479889042993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-1.4705882352941176E-2</v>
      </c>
      <c r="AW23" s="1265">
        <f>IF(ISNUMBER((Datos!Q23-Datos!R23)/(Datos!S23-Datos!Q23+Datos!R23)),(Datos!Q23-Datos!R23)/(Datos!S23-Datos!Q23+Datos!R23)," - ")</f>
        <v>-8.755760368663594E-2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52</v>
      </c>
      <c r="AE31" s="1284">
        <f t="shared" si="9"/>
        <v>0</v>
      </c>
      <c r="AF31" s="1285">
        <f t="shared" si="9"/>
        <v>14</v>
      </c>
      <c r="AG31" s="1285">
        <f t="shared" si="9"/>
        <v>0</v>
      </c>
      <c r="AH31" s="1285">
        <f t="shared" si="9"/>
        <v>2523</v>
      </c>
      <c r="AI31" s="1285">
        <f t="shared" si="9"/>
        <v>0</v>
      </c>
      <c r="AJ31" s="1286">
        <f t="shared" si="9"/>
        <v>0</v>
      </c>
      <c r="AK31" s="1286">
        <f t="shared" si="9"/>
        <v>0</v>
      </c>
      <c r="AL31" s="1278">
        <f t="shared" si="9"/>
        <v>156</v>
      </c>
      <c r="AM31" s="1278">
        <f t="shared" si="9"/>
        <v>178</v>
      </c>
      <c r="AN31" s="1278">
        <f t="shared" si="9"/>
        <v>0</v>
      </c>
      <c r="AO31" s="1278">
        <f t="shared" si="9"/>
        <v>0</v>
      </c>
      <c r="AP31" s="1278">
        <f>IF(ISNUMBER(((Datos!L31/Datos!K31)*11)/factor_trimestre),((Datos!L31/Datos!K31)*11)/factor_trimestre," - ")</f>
        <v>7.6192842942345926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1.8345042935206869E-2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79.410326784367285</v>
      </c>
      <c r="AM33" s="1006"/>
      <c r="AN33" s="1006">
        <f>IF(ISNUMBER(STDEV(AN8:AN30)),STDEV(AN8:AN30),"-")</f>
        <v>0</v>
      </c>
      <c r="AO33" s="1012">
        <f>IF(ISNUMBER(STDEV(AO8:AO30)),STDEV(AO8:AO30),"-")</f>
        <v>0</v>
      </c>
      <c r="AP33" s="1065">
        <f>IF(ISNUMBER(STDEV(AP8:AP30)),STDEV(AP8:AP30),"-")</f>
        <v>4.1728825814789268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s+SfQ67eS9S0g3TF8PolX8HPTz9mt4U+ZDm1xGy7CYhD8ByRGK+nug+HXhk68p69PGPUv5Yc/5hsZn7vkXRiw==" saltValue="LYMyZPzemE8Xp5D7D2R4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CANGAS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aG09BZmJ8gbHzVTPcGEDzW9Ju0VpnxDDVHsOQwEJPYfacAPVU1Fp8C/5b7FepSpTVJjj6OWBafbR2CGcryzmQ==" saltValue="aSuzdgoLPyzZtF3V2YRx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CANGAS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153</v>
      </c>
      <c r="E12" s="452">
        <f t="shared" si="0"/>
        <v>51</v>
      </c>
      <c r="F12" s="451">
        <f>IF(ISNUMBER(Datos!N12),Datos!N12," - ")</f>
        <v>178</v>
      </c>
      <c r="G12" s="452">
        <f t="shared" si="1"/>
        <v>59.333333333333336</v>
      </c>
      <c r="H12" s="451">
        <f>IF(ISNUMBER(Datos!O12),Datos!O12," - ")</f>
        <v>233</v>
      </c>
      <c r="I12" s="452">
        <f t="shared" si="2"/>
        <v>77.666666666666671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156</v>
      </c>
      <c r="E14" s="1147">
        <f t="shared" si="0"/>
        <v>39</v>
      </c>
      <c r="F14" s="1146">
        <f>SUBTOTAL(9,F9:F13)</f>
        <v>178</v>
      </c>
      <c r="G14" s="1147">
        <f t="shared" si="1"/>
        <v>44.5</v>
      </c>
      <c r="H14" s="1146">
        <f>SUBTOTAL(9,H9:H13)</f>
        <v>233</v>
      </c>
      <c r="I14" s="1147">
        <f>IF(ISNUMBER(H14/B14),H14/B14," - ")</f>
        <v>58.25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66</v>
      </c>
      <c r="E17" s="452">
        <f t="shared" si="3"/>
        <v>22</v>
      </c>
      <c r="F17" s="451">
        <f>IF(ISNUMBER(Datos!N17),Datos!N17," - ")</f>
        <v>292</v>
      </c>
      <c r="G17" s="452">
        <f t="shared" si="4"/>
        <v>97.333333333333329</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73</v>
      </c>
      <c r="E23" s="1147">
        <f t="shared" si="3"/>
        <v>18.25</v>
      </c>
      <c r="F23" s="1146">
        <f>SUBTOTAL(9,F16:F22)</f>
        <v>332</v>
      </c>
      <c r="G23" s="1147">
        <f t="shared" si="4"/>
        <v>83</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229</v>
      </c>
      <c r="E31" s="1085">
        <f>IF(ISNUMBER(D31/B31),D31/B31," - ")</f>
        <v>76.333333333333329</v>
      </c>
      <c r="F31" s="1084">
        <f>SUBTOTAL(9,F8:F30)</f>
        <v>510</v>
      </c>
      <c r="G31" s="1085">
        <f>IF(ISNUMBER(F31/B31),F31/B31," - ")</f>
        <v>170</v>
      </c>
      <c r="H31" s="1084">
        <f>SUBTOTAL(9,H8:H30)</f>
        <v>235</v>
      </c>
      <c r="I31" s="1085">
        <f>IF(ISNUMBER(H31/B31),H31/B31," - ")</f>
        <v>78.333333333333329</v>
      </c>
    </row>
    <row r="34" spans="1:1">
      <c r="A34" s="439" t="str">
        <f>Criterios!A4</f>
        <v>Fecha Informe: 06 may. 2023</v>
      </c>
    </row>
    <row r="39" spans="1:1">
      <c r="A39" s="462"/>
    </row>
  </sheetData>
  <sheetProtection algorithmName="SHA-512" hashValue="ewpWxAHoxRB/gfws/9A0gLuRKd6FvXfxcBaAswj2F2ElSNskZbboADrhxjAq/e0Zzyx+UDU9CTLRenQbJLiVIg==" saltValue="wp7T5PJcVzZxnKJp0AyX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CANGAS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v>
      </c>
      <c r="C12" s="489">
        <f>IF(ISNUMBER(Datos!Q12),Datos!Q12," - ")</f>
        <v>52</v>
      </c>
      <c r="D12" s="456">
        <f>IF(ISNUMBER(Datos!R12),Datos!R12," - ")</f>
        <v>2523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52</v>
      </c>
      <c r="D14" s="1148">
        <f>SUBTOTAL(9,D9:D13)</f>
        <v>2542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10</v>
      </c>
      <c r="D17" s="456">
        <f>IF(ISNUMBER(Datos!R17),Datos!R17," - ")</f>
        <v>67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10</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62</v>
      </c>
      <c r="D31" s="1090">
        <f>SUBTOTAL(9,D8:D30)</f>
        <v>2609</v>
      </c>
    </row>
    <row r="32" spans="1:4" ht="7.5" customHeight="1"/>
    <row r="33" spans="1:1" ht="6" customHeight="1"/>
    <row r="34" spans="1:1">
      <c r="A34" s="439" t="str">
        <f>Criterios!A4</f>
        <v>Fecha Informe: 06 may. 2023</v>
      </c>
    </row>
    <row r="39" spans="1:1">
      <c r="A39" s="462"/>
    </row>
  </sheetData>
  <sheetProtection algorithmName="SHA-512" hashValue="ypSUpbv5yUw5kDXWBvAkI7a2HM/evU0p7m3gSBs+YDVHB6Q4lqhVnDJsSnl7nGuVE76PpkO+5YHwqCR0DpaVXQ==" saltValue="IwGBOEe9dNMu9Sdipwgk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CANGAS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-0.27272727272727271</v>
      </c>
      <c r="C10" s="515">
        <f>IF(ISNUMBER((Datos!J10-Datos!T10)/Datos!T10),(Datos!J10-Datos!T10)/Datos!T10," - ")</f>
        <v>0</v>
      </c>
      <c r="D10" s="515">
        <f>IF(ISNUMBER((Datos!K10-Datos!U10)/Datos!U10),(Datos!K10-Datos!U10)/Datos!U10," - ")</f>
        <v>0</v>
      </c>
      <c r="E10" s="515">
        <f>IF(ISNUMBER((Datos!L10-Datos!V10)/Datos!V10),(Datos!L10-Datos!V10)/Datos!V10," - ")</f>
        <v>-0.3</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-0.3</v>
      </c>
      <c r="J10" s="521">
        <f>IF(ISNUMBER((('Resol  Asuntos'!D10/NºAsuntos!G10)-Datos!BF10)/Datos!BF10),(('Resol  Asuntos'!D10/NºAsuntos!G10)-Datos!BF10)/Datos!BF10," - ")</f>
        <v>0</v>
      </c>
      <c r="K10" s="522">
        <f>IF(ISNUMBER((((NºAsuntos!C10+NºAsuntos!E10)/NºAsuntos!G10)-Datos!BG10)/Datos!BG10),(((NºAsuntos!C10+NºAsuntos!E10)/NºAsuntos!G10)-Datos!BG10)/Datos!BG10," - ")</f>
        <v>-0.2608695652173913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0.20656980416929879</v>
      </c>
      <c r="C12" s="515">
        <f>IF(ISNUMBER(
   IF(J_V="SI",(Datos!J12-Datos!T12)/Datos!T12,(Datos!J12+Datos!Z12-(Datos!T12+Datos!AH12))/(Datos!T12+Datos!AH12))
     ),IF(J_V="SI",(Datos!J12-Datos!T12)/Datos!T12,(Datos!J12+Datos!Z12-(Datos!T12+Datos!AH12))/(Datos!T12+Datos!AH12))," - ")</f>
        <v>0.33920704845814981</v>
      </c>
      <c r="D12" s="515">
        <f>IF(ISNUMBER(
   IF(J_V="SI",(Datos!K12-Datos!U12)/Datos!U12,(Datos!K12+Datos!AA12-(Datos!U12+Datos!AI12))/(Datos!U12+Datos!AI12))
     ),IF(J_V="SI",(Datos!K12-Datos!U12)/Datos!U12,(Datos!K12+Datos!AA12-(Datos!U12+Datos!AI12))/(Datos!U12+Datos!AI12))," - ")</f>
        <v>0.2752941176470588</v>
      </c>
      <c r="E12" s="515">
        <f>IF(ISNUMBER(
   IF(J_V="SI",(Datos!L12-Datos!V12)/Datos!V12,(Datos!L12+Datos!AB12-(Datos!V12+Datos!AJ12))/(Datos!V12+Datos!AJ12))
     ),IF(J_V="SI",(Datos!L12-Datos!V12)/Datos!V12,(Datos!L12+Datos!AB12-(Datos!V12+Datos!AJ12))/(Datos!V12+Datos!AJ12))," - ")</f>
        <v>0.22580645161290322</v>
      </c>
      <c r="F12" s="515">
        <f>IF(ISNUMBER((Datos!M12-Datos!W12)/Datos!W12),(Datos!M12-Datos!W12)/Datos!W12," - ")</f>
        <v>-2.5477707006369428E-2</v>
      </c>
      <c r="G12" s="516">
        <f>IF(ISNUMBER((Datos!N12-Datos!X12)/Datos!X12),(Datos!N12-Datos!X12)/Datos!X12," - ")</f>
        <v>0.76237623762376239</v>
      </c>
      <c r="H12" s="514">
        <f>IF(ISNUMBER(((NºAsuntos!G12/NºAsuntos!E12)-Datos!BD12)/Datos!BD12),((NºAsuntos!G12/NºAsuntos!E12)-Datos!BD12)/Datos!BD12," - ")</f>
        <v>-4.772445820433429E-2</v>
      </c>
      <c r="I12" s="515">
        <f>IF(ISNUMBER(((NºAsuntos!I12/NºAsuntos!G12)-Datos!BE12)/Datos!BE12),((NºAsuntos!I12/NºAsuntos!G12)-Datos!BE12)/Datos!BE12," - ")</f>
        <v>-3.8804904178074071E-2</v>
      </c>
      <c r="J12" s="521">
        <f>IF(ISNUMBER((('Resol  Asuntos'!D12/NºAsuntos!G12)-Datos!BF12)/Datos!BF12),(('Resol  Asuntos'!D12/NºAsuntos!G12)-Datos!BF12)/Datos!BF12," - ")</f>
        <v>0.18784479924007166</v>
      </c>
      <c r="K12" s="522">
        <f>IF(ISNUMBER((((NºAsuntos!C12+NºAsuntos!E12)/NºAsuntos!G12)-Datos!BG12)/Datos!BG12),(((NºAsuntos!C12+NºAsuntos!E12)/NºAsuntos!G12)-Datos!BG12)/Datos!BG12," - ")</f>
        <v>-3.0708642874352092E-2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v>
      </c>
      <c r="C14" s="1152">
        <f>IF(ISNUMBER(
   IF(J_V="SI",(Datos!J14-Datos!T14)/Datos!T14,(Datos!J14+Datos!Z14-(Datos!T14+Datos!AH14))/(Datos!T14+Datos!AH14))
     ),IF(J_V="SI",(Datos!J14-Datos!T14)/Datos!T14,(Datos!J14+Datos!Z14-(Datos!T14+Datos!AH14))/(Datos!T14+Datos!AH14))," - ")</f>
        <v>0.33846153846153848</v>
      </c>
      <c r="D14" s="1152">
        <f>IF(ISNUMBER(
   IF(J_V="SI",(Datos!K14-Datos!U14)/Datos!U14,(Datos!K14+Datos!AA14-(Datos!U14+Datos!AI14))/(Datos!U14+Datos!AI14))
     ),IF(J_V="SI",(Datos!K14-Datos!U14)/Datos!U14,(Datos!K14+Datos!AA14-(Datos!U14+Datos!AI14))/(Datos!U14+Datos!AI14))," - ")</f>
        <v>0.27336448598130841</v>
      </c>
      <c r="E14" s="1152">
        <f>IF(ISNUMBER(
   IF(J_V="SI",(Datos!L14-Datos!V14)/Datos!V14,(Datos!L14+Datos!AB14-(Datos!V14+Datos!AJ14))/(Datos!V14+Datos!AJ14))
     ),IF(J_V="SI",(Datos!L14-Datos!V14)/Datos!V14,(Datos!L14+Datos!AB14-(Datos!V14+Datos!AJ14))/(Datos!V14+Datos!AJ14))," - ")</f>
        <v>0.21936274509803921</v>
      </c>
      <c r="F14" s="1153">
        <f>IF(ISNUMBER((Datos!M14-Datos!W14)/Datos!W14),(Datos!M14-Datos!W14)/Datos!W14," - ")</f>
        <v>-2.5000000000000001E-2</v>
      </c>
      <c r="G14" s="1154">
        <f>IF(ISNUMBER((Datos!N14-Datos!X14)/Datos!X14),(Datos!N14-Datos!X14)/Datos!X14," - ")</f>
        <v>0.76237623762376239</v>
      </c>
      <c r="H14" s="1154">
        <f>IF(ISNUMBER(((NºAsuntos!G14/NºAsuntos!E14)-Datos!BD14)/Datos!BD14),((NºAsuntos!G14/NºAsuntos!E14)-Datos!BD14)/Datos!BD14," - ")</f>
        <v>-4.8635728864539665E-2</v>
      </c>
      <c r="I14" s="1154">
        <f>IF(ISNUMBER(((NºAsuntos!I14/NºAsuntos!G14)-Datos!BE14)/Datos!BE14),((NºAsuntos!I14/NºAsuntos!G14)-Datos!BE14)/Datos!BE14," - ")</f>
        <v>-4.2408706601906848E-2</v>
      </c>
      <c r="J14" s="1154">
        <f>IF(ISNUMBER((('Resol  Asuntos'!D14/NºAsuntos!G14)-Datos!BF14)/Datos!BF14),(('Resol  Asuntos'!D14/NºAsuntos!G14)-Datos!BF14)/Datos!BF14," - ")</f>
        <v>0.17798165137614685</v>
      </c>
      <c r="K14" s="1154">
        <f>IF(ISNUMBER((((NºAsuntos!C14+NºAsuntos!E14)/NºAsuntos!G14)-Datos!BG14)/Datos!BG14),(((NºAsuntos!C14+NºAsuntos!E14)/NºAsuntos!G14)-Datos!BG14)/Datos!BG14," - ")</f>
        <v>-3.3597577269083571E-2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0.15572232645403378</v>
      </c>
      <c r="C17" s="515">
        <f>IF(ISNUMBER(
   IF(D_I="SI",(Datos!J17-Datos!T17)/Datos!T17,(Datos!J17+Datos!AD17-(Datos!T17+Datos!AL17))/(Datos!T17+Datos!AL17))
     ),IF(D_I="SI",(Datos!J17-Datos!T17)/Datos!T17,(Datos!J17+Datos!AD17-(Datos!T17+Datos!AL17))/(Datos!T17+Datos!AL17))," - ")</f>
        <v>-3.2818532818532815E-2</v>
      </c>
      <c r="D17" s="515">
        <f>IF(ISNUMBER(
   IF(D_I="SI",(Datos!K17-Datos!U17)/Datos!U17,(Datos!K17+Datos!AE17-(Datos!U17+Datos!AM17))/(Datos!U17+Datos!AM17))
     ),IF(D_I="SI",(Datos!K17-Datos!U17)/Datos!U17,(Datos!K17+Datos!AE17-(Datos!U17+Datos!AM17))/(Datos!U17+Datos!AM17))," - ")</f>
        <v>-0.16513761467889909</v>
      </c>
      <c r="E17" s="515">
        <f>IF(ISNUMBER(
   IF(D_I="SI",(Datos!L17-Datos!V17)/Datos!V17,(Datos!L17+Datos!AF17-(Datos!V17+Datos!AN17))/(Datos!V17+Datos!AN17))
     ),IF(D_I="SI",(Datos!L17-Datos!V17)/Datos!V17,(Datos!L17+Datos!AF17-(Datos!V17+Datos!AN17))/(Datos!V17+Datos!AN17))," - ")</f>
        <v>0.30830039525691699</v>
      </c>
      <c r="F17" s="515">
        <f>IF(ISNUMBER((Datos!M17-Datos!W17)/Datos!W17),(Datos!M17-Datos!W17)/Datos!W17," - ")</f>
        <v>-0.16455696202531644</v>
      </c>
      <c r="G17" s="516">
        <f>IF(ISNUMBER((Datos!N17-Datos!X17)/Datos!X17),(Datos!N17-Datos!X17)/Datos!X17," - ")</f>
        <v>-0.26633165829145727</v>
      </c>
      <c r="H17" s="514">
        <f>IF(ISNUMBER(((NºAsuntos!G17/NºAsuntos!E17)-Datos!BD17)/Datos!BD17),((NºAsuntos!G17/NºAsuntos!E17)-Datos!BD17)/Datos!BD17," - ")</f>
        <v>-0.13680895090552839</v>
      </c>
      <c r="I17" s="515">
        <f>IF(ISNUMBER(((NºAsuntos!I17/NºAsuntos!G17)-Datos!BE17)/Datos!BE17),((NºAsuntos!I17/NºAsuntos!G17)-Datos!BE17)/Datos!BE17," - ")</f>
        <v>0.56708508882421915</v>
      </c>
      <c r="J17" s="521">
        <f>IF(ISNUMBER((('Resol  Asuntos'!D17/NºAsuntos!G17)-Datos!BF17)/Datos!BF17),(('Resol  Asuntos'!D17/NºAsuntos!G17)-Datos!BF17)/Datos!BF17," - ")</f>
        <v>6.9550702462097599E-4</v>
      </c>
      <c r="K17" s="522">
        <f>IF(ISNUMBER((((NºAsuntos!C17+NºAsuntos!E17)/NºAsuntos!G17)-Datos!BG17)/Datos!BG17),(((NºAsuntos!C17+NºAsuntos!E17)/NºAsuntos!G17)-Datos!BG17)/Datos!BG17," - ")</f>
        <v>0.27302098472412473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-0.18032786885245902</v>
      </c>
      <c r="C18" s="515">
        <f>IF(ISNUMBER(
   IF(D_I="SI",(Datos!J18-Datos!T18)/Datos!T18,(Datos!J18+Datos!AD18-(Datos!T18+Datos!AL18))/(Datos!T18+Datos!AL18))
     ),IF(D_I="SI",(Datos!J18-Datos!T18)/Datos!T18,(Datos!J18+Datos!AD18-(Datos!T18+Datos!AL18))/(Datos!T18+Datos!AL18))," - ")</f>
        <v>0.86842105263157898</v>
      </c>
      <c r="D18" s="515">
        <f>IF(ISNUMBER(
   IF(D_I="SI",(Datos!K18-Datos!U18)/Datos!U18,(Datos!K18+Datos!AE18-(Datos!U18+Datos!AM18))/(Datos!U18+Datos!AM18))
     ),IF(D_I="SI",(Datos!K18-Datos!U18)/Datos!U18,(Datos!K18+Datos!AE18-(Datos!U18+Datos!AM18))/(Datos!U18+Datos!AM18))," - ")</f>
        <v>0.31914893617021278</v>
      </c>
      <c r="E18" s="515">
        <f>IF(ISNUMBER(
   IF(D_I="SI",(Datos!L18-Datos!V18)/Datos!V18,(Datos!L18+Datos!AF18-(Datos!V18+Datos!AN18))/(Datos!V18+Datos!AN18))
     ),IF(D_I="SI",(Datos!L18-Datos!V18)/Datos!V18,(Datos!L18+Datos!AF18-(Datos!V18+Datos!AN18))/(Datos!V18+Datos!AN18))," - ")</f>
        <v>0.13461538461538461</v>
      </c>
      <c r="F18" s="515">
        <f>IF(ISNUMBER((Datos!M18-Datos!W18)/Datos!W18),(Datos!M18-Datos!W18)/Datos!W18," - ")</f>
        <v>6</v>
      </c>
      <c r="G18" s="516">
        <f>IF(ISNUMBER((Datos!N18-Datos!X18)/Datos!X18),(Datos!N18-Datos!X18)/Datos!X18," - ")</f>
        <v>-0.25925925925925924</v>
      </c>
      <c r="H18" s="514">
        <f>IF(ISNUMBER(((NºAsuntos!G18/NºAsuntos!E18)-Datos!BD18)/Datos!BD18),((NºAsuntos!G18/NºAsuntos!E18)-Datos!BD18)/Datos!BD18," - ")</f>
        <v>-0.29397662571171718</v>
      </c>
      <c r="I18" s="515">
        <f>IF(ISNUMBER(((NºAsuntos!I18/NºAsuntos!G18)-Datos!BE18)/Datos!BE18),((NºAsuntos!I18/NºAsuntos!G18)-Datos!BE18)/Datos!BE18," - ")</f>
        <v>-0.13988833746898263</v>
      </c>
      <c r="J18" s="521">
        <f>IF(ISNUMBER((('Resol  Asuntos'!D18/NºAsuntos!G18)-Datos!BF18)/Datos!BF18),(('Resol  Asuntos'!D18/NºAsuntos!G18)-Datos!BF18)/Datos!BF18," - ")</f>
        <v>4.306451612903226</v>
      </c>
      <c r="K18" s="522">
        <f>IF(ISNUMBER((((NºAsuntos!C18+NºAsuntos!E18)/NºAsuntos!G18)-Datos!BG18)/Datos!BG18),(((NºAsuntos!C18+NºAsuntos!E18)/NºAsuntos!G18)-Datos!BG18)/Datos!BG18," - ")</f>
        <v>-7.3476702508960476E-2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0.12121212121212122</v>
      </c>
      <c r="C23" s="1152">
        <f>IF(ISNUMBER(
   IF(Criterios!B14="SI",(Datos!J23-Datos!T23)/Datos!T23,(Datos!J23+Datos!AD23-(Datos!T23+Datos!AL23))/(Datos!T23+Datos!AL23))
     ),IF(Criterios!B14="SI",(Datos!J23-Datos!T23)/Datos!T23,(Datos!J23+Datos!AD23-(Datos!T23+Datos!AL23))/(Datos!T23+Datos!AL23))," - ")</f>
        <v>2.8776978417266189E-2</v>
      </c>
      <c r="D23" s="1152">
        <f>IF(ISNUMBER(
   IF(Criterios!B14="SI",(Datos!K23-Datos!U23)/Datos!U23,(Datos!K23+Datos!AE23-(Datos!U23+Datos!AM23))/(Datos!U23+Datos!AM23))
     ),IF(Criterios!B14="SI",(Datos!K23-Datos!U23)/Datos!U23,(Datos!K23+Datos!AE23-(Datos!U23+Datos!AM23))/(Datos!U23+Datos!AM23))," - ")</f>
        <v>-0.1266891891891892</v>
      </c>
      <c r="E23" s="1152">
        <f>IF(ISNUMBER(
   IF(Criterios!B14="SI",(Datos!L23-Datos!V23)/Datos!V23,(Datos!L23+Datos!AF23-(Datos!V23+Datos!AN23))/(Datos!V23+Datos!AN23))
     ),IF(Criterios!B14="SI",(Datos!L23-Datos!V23)/Datos!V23,(Datos!L23+Datos!AF23-(Datos!V23+Datos!AN23))/(Datos!V23+Datos!AN23))," - ")</f>
        <v>0.29211469534050177</v>
      </c>
      <c r="F23" s="1153">
        <f>IF(ISNUMBER((Datos!M23-Datos!W23)/Datos!W23),(Datos!M23-Datos!W23)/Datos!W23," - ")</f>
        <v>-8.7499999999999994E-2</v>
      </c>
      <c r="G23" s="1154">
        <f>IF(ISNUMBER((Datos!N23-Datos!X23)/Datos!X23),(Datos!N23-Datos!X23)/Datos!X23," - ")</f>
        <v>-0.26548672566371684</v>
      </c>
      <c r="H23" s="1154">
        <f>IF(ISNUMBER(((NºAsuntos!G23/NºAsuntos!E23)-Datos!BD23)/Datos!BD23),((NºAsuntos!G23/NºAsuntos!E23)-Datos!BD23)/Datos!BD23," - ")</f>
        <v>-0.15111746361746364</v>
      </c>
      <c r="I23" s="1154">
        <f>IF(ISNUMBER(((NºAsuntos!I23/NºAsuntos!G23)-Datos!BE23)/Datos!BE23),((NºAsuntos!I23/NºAsuntos!G23)-Datos!BE23)/Datos!BE23," - ")</f>
        <v>0.47955880008041979</v>
      </c>
      <c r="J23" s="1154">
        <f>IF(ISNUMBER((('Resol  Asuntos'!D23/NºAsuntos!G23)-Datos!BF23)/Datos!BF23),(('Resol  Asuntos'!D23/NºAsuntos!G23)-Datos!BF23)/Datos!BF23," - ")</f>
        <v>4.4874274661508548E-2</v>
      </c>
      <c r="K23" s="1154">
        <f>IF(ISNUMBER((((NºAsuntos!C23+NºAsuntos!E23)/NºAsuntos!G23)-Datos!BG23)/Datos!BG23),(((NºAsuntos!C23+NºAsuntos!E23)/NºAsuntos!G23)-Datos!BG23)/Datos!BG23," - ")</f>
        <v>0.23269026995206457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0.17871759890859482</v>
      </c>
      <c r="C31" s="1092">
        <f>IF(ISNUMBER(
   IF(J_V="SI",(Datos!J31-Datos!T31)/Datos!T31,(Datos!J31+Datos!Z31-(Datos!T31+Datos!AH31))/(Datos!T31+Datos!AH31))
     ),IF(J_V="SI",(Datos!J31-Datos!T31)/Datos!T31,(Datos!J31+Datos!Z31-(Datos!T31+Datos!AH31))/(Datos!T31+Datos!AH31))," - ")</f>
        <v>0.16815034619188921</v>
      </c>
      <c r="D31" s="1092">
        <f>IF(ISNUMBER(
   IF(J_V="SI",(Datos!K31-Datos!U31)/Datos!U31,(Datos!K31+Datos!AA31-(Datos!U31+Datos!AI31))/(Datos!U31+Datos!AI31))
     ),IF(J_V="SI",(Datos!K31-Datos!U31)/Datos!U31,(Datos!K31+Datos!AA31-(Datos!U31+Datos!AI31))/(Datos!U31+Datos!AI31))," - ")</f>
        <v>4.1176470588235294E-2</v>
      </c>
      <c r="E31" s="1092">
        <f>IF(ISNUMBER(
   IF(J_V="SI",(Datos!L31-Datos!V31)/Datos!V31,(Datos!L31+Datos!AB31-(Datos!V31+Datos!AJ31))/(Datos!V31+Datos!AJ31))
     ),IF(J_V="SI",(Datos!L31-Datos!V31)/Datos!V31,(Datos!L31+Datos!AB31-(Datos!V31+Datos!AJ31))/(Datos!V31+Datos!AJ31))," - ")</f>
        <v>0.23789954337899544</v>
      </c>
      <c r="F31" s="1093">
        <f>IF(ISNUMBER((Datos!M31-Datos!W31)/Datos!W31),(Datos!M31-Datos!W31)/Datos!W31," - ")</f>
        <v>-4.583333333333333E-2</v>
      </c>
      <c r="G31" s="1094">
        <f>IF(ISNUMBER((Datos!N31-Datos!X31)/Datos!X31),(Datos!N31-Datos!X31)/Datos!X31," - ")</f>
        <v>-7.7757685352622063E-2</v>
      </c>
      <c r="H31" s="1095">
        <f>IF(ISNUMBER((Tasas!B31-Datos!BD31)/Datos!BD31),(Tasas!B31-Datos!BD31)/Datos!BD31," - ")</f>
        <v>-0.10869651840414397</v>
      </c>
      <c r="I31" s="1096">
        <f>IF(ISNUMBER((Tasas!C31-Datos!BE31)/Datos!BE31),(Tasas!C31-Datos!BE31)/Datos!BE31," - ")</f>
        <v>0.18894306426231208</v>
      </c>
      <c r="J31" s="1097">
        <f>IF(ISNUMBER((Tasas!D31-Datos!BF31)/Datos!BF31),(Tasas!D31-Datos!BF31)/Datos!BF31," - ")</f>
        <v>0.19534512404814544</v>
      </c>
      <c r="K31" s="1097">
        <f>IF(ISNUMBER((Tasas!E31-Datos!BG31)/Datos!BG31),(Tasas!E31-Datos!BG31)/Datos!BG31," - ")</f>
        <v>0.12890508122568956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vebcXmrQQhtTY3PIKyv3mTpR9/Pv8FGUgNLwl2X+YFIpNiWx8fPvBoGuYfqbv4HF9oCmtLQMXI4S6VYV5eyMg==" saltValue="SW18V2R8olYmuYXt+KJw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CANGAS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4.666666666666667</v>
      </c>
      <c r="D10" s="499">
        <f>IF(ISNUMBER('Resol  Asuntos'!D10/NºAsuntos!G10),'Resol  Asuntos'!D10/NºAsuntos!G10," - ")</f>
        <v>1</v>
      </c>
      <c r="E10" s="500">
        <f>IF(ISNUMBER((NºAsuntos!C10+NºAsuntos!E10)/NºAsuntos!G10),(NºAsuntos!C10+NºAsuntos!E10)/NºAsuntos!G10," - ")</f>
        <v>5.666666666666667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0.89144736842105265</v>
      </c>
      <c r="C12" s="498">
        <f>IF(ISNUMBER(NºAsuntos!I12/NºAsuntos!G12),NºAsuntos!I12/NºAsuntos!G12," - ")</f>
        <v>3.6457564575645756</v>
      </c>
      <c r="D12" s="499">
        <f>IF(ISNUMBER('Resol  Asuntos'!D12/NºAsuntos!G12),'Resol  Asuntos'!D12/NºAsuntos!G12," - ")</f>
        <v>0.28228782287822879</v>
      </c>
      <c r="E12" s="500">
        <f>IF(ISNUMBER((NºAsuntos!C12+NºAsuntos!E12)/NºAsuntos!G12),(NºAsuntos!C12+NºAsuntos!E12)/NºAsuntos!G12," - ")</f>
        <v>4.645756457564576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0.89490968801313631</v>
      </c>
      <c r="C14" s="1156">
        <f>IF(ISNUMBER(NºAsuntos!I14/NºAsuntos!G14),NºAsuntos!I14/NºAsuntos!G14," - ")</f>
        <v>3.6513761467889907</v>
      </c>
      <c r="D14" s="1157">
        <f>IF(ISNUMBER('Resol  Asuntos'!D14/NºAsuntos!G14),'Resol  Asuntos'!D14/NºAsuntos!G14," - ")</f>
        <v>0.28623853211009176</v>
      </c>
      <c r="E14" s="1158">
        <f>IF(ISNUMBER((NºAsuntos!C14+NºAsuntos!E14)/NºAsuntos!G14),(NºAsuntos!C14+NºAsuntos!E14)/NºAsuntos!G14," - ")</f>
        <v>4.6513761467889907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0.90818363273453095</v>
      </c>
      <c r="C17" s="498">
        <f>IF(ISNUMBER(NºAsuntos!I17/NºAsuntos!G17),NºAsuntos!I17/NºAsuntos!G17," - ")</f>
        <v>1.4549450549450549</v>
      </c>
      <c r="D17" s="499">
        <f>IF(ISNUMBER('Resol  Asuntos'!D17/NºAsuntos!G17),'Resol  Asuntos'!D17/NºAsuntos!G17," - ")</f>
        <v>0.14505494505494507</v>
      </c>
      <c r="E17" s="500">
        <f>IF(ISNUMBER((NºAsuntos!C17+NºAsuntos!E17)/NºAsuntos!G17),(NºAsuntos!C17+NºAsuntos!E17)/NºAsuntos!G17," - ")</f>
        <v>2.4549450549450551</v>
      </c>
      <c r="G17" s="523"/>
    </row>
    <row r="18" spans="1:7">
      <c r="A18" s="450" t="str">
        <f>Datos!A18</f>
        <v>Jdos. Violencia contra la mujer</v>
      </c>
      <c r="B18" s="497">
        <f>IF(ISNUMBER(NºAsuntos!G18/NºAsuntos!E18),NºAsuntos!G18/NºAsuntos!E18," - ")</f>
        <v>0.87323943661971826</v>
      </c>
      <c r="C18" s="498">
        <f>IF(ISNUMBER(NºAsuntos!I18/NºAsuntos!G18),NºAsuntos!I18/NºAsuntos!G18," - ")</f>
        <v>0.95161290322580649</v>
      </c>
      <c r="D18" s="499">
        <f>IF(ISNUMBER('Resol  Asuntos'!D18/NºAsuntos!G18),'Resol  Asuntos'!D18/NºAsuntos!G18," - ")</f>
        <v>0.11290322580645161</v>
      </c>
      <c r="E18" s="500">
        <f>IF(ISNUMBER((NºAsuntos!C18+NºAsuntos!E18)/NºAsuntos!G18),(NºAsuntos!C18+NºAsuntos!E18)/NºAsuntos!G18," - ")</f>
        <v>1.9516129032258065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0.90384615384615385</v>
      </c>
      <c r="C23" s="1156">
        <f>IF(ISNUMBER(NºAsuntos!I23/NºAsuntos!G23),NºAsuntos!I23/NºAsuntos!G23," - ")</f>
        <v>1.3945841392649903</v>
      </c>
      <c r="D23" s="1159">
        <f>IF(ISNUMBER('Resol  Asuntos'!D23/NºAsuntos!G23),'Resol  Asuntos'!D23/NºAsuntos!G23," - ")</f>
        <v>0.14119922630560927</v>
      </c>
      <c r="E23" s="1158">
        <f>IF(ISNUMBER((NºAsuntos!C23+NºAsuntos!E23)/NºAsuntos!G23),(NºAsuntos!C23+NºAsuntos!E23)/NºAsuntos!G23," - ")</f>
        <v>2.3945841392649903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0.89923793395427609</v>
      </c>
      <c r="C31" s="1099">
        <f>IF(ISNUMBER(NºAsuntos!I31/NºAsuntos!G31),NºAsuntos!I31/NºAsuntos!G31," - ")</f>
        <v>2.5527306967984935</v>
      </c>
      <c r="D31" s="1100">
        <f>IF(ISNUMBER('Resol  Asuntos'!D31/NºAsuntos!G31),'Resol  Asuntos'!D31/NºAsuntos!G31," - ")</f>
        <v>0.21563088512241055</v>
      </c>
      <c r="E31" s="1101">
        <f>IF(ISNUMBER((NºAsuntos!C31+NºAsuntos!E31)/NºAsuntos!G31),(NºAsuntos!C31+NºAsuntos!E31)/NºAsuntos!G31," - ")</f>
        <v>3.5527306967984935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2c8m57ReVlQZZtRf8dJ5IidKOl7e1jSHkc/u1ajHrBlQgVhhKZY3XPx7wqrZRwPj++5xaG8goSogAC2S8pAvg==" saltValue="WBqDpMiCs9DqLmq1srXX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CANGAS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14</v>
      </c>
      <c r="AB10" s="374">
        <f>IF(ISNUMBER(Datos!R10),Datos!R10," - ")</f>
        <v>19</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14.000000000000002</v>
      </c>
      <c r="AN10" s="267">
        <f>IF(ISNUMBER('Resol  Asuntos'!D10/NºAsuntos!G10),'Resol  Asuntos'!D10/NºAsuntos!G10," - ")</f>
        <v>1</v>
      </c>
      <c r="AO10" s="268">
        <f>IF(ISNUMBER((NºAsuntos!C10+NºAsuntos!E10)/NºAsuntos!G10),(NºAsuntos!C10+NºAsuntos!E10)/NºAsuntos!G10," - ")</f>
        <v>5.666666666666667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153</v>
      </c>
      <c r="AJ12" s="243" t="str">
        <f>IF(ISNUMBER(Datos!BW12),Datos!BW12," - ")</f>
        <v xml:space="preserve"> - </v>
      </c>
      <c r="AK12" s="242" t="str">
        <f>IF(ISNUMBER(Datos!BX12),Datos!BX12," - ")</f>
        <v xml:space="preserve"> - </v>
      </c>
      <c r="AL12" s="266">
        <f>IF(ISNUMBER(NºAsuntos!G12/NºAsuntos!E12),NºAsuntos!G12/NºAsuntos!E12," - ")</f>
        <v>0.89144736842105265</v>
      </c>
      <c r="AM12" s="284">
        <f>IF(ISNUMBER(((NºAsuntos!I12/NºAsuntos!G12)*11)/factor_trimestre),((NºAsuntos!I12/NºAsuntos!G12)*11)/factor_trimestre," - ")</f>
        <v>10.937269372693727</v>
      </c>
      <c r="AN12" s="267">
        <f>IF(ISNUMBER('Resol  Asuntos'!D12/NºAsuntos!G12),'Resol  Asuntos'!D12/NºAsuntos!G12," - ")</f>
        <v>0.28228782287822879</v>
      </c>
      <c r="AO12" s="268">
        <f>IF(ISNUMBER((NºAsuntos!C12+NºAsuntos!E12)/NºAsuntos!G12),(NºAsuntos!C12+NºAsuntos!E12)/NºAsuntos!G12," - ")</f>
        <v>4.645756457564576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52</v>
      </c>
      <c r="Y14" s="1165">
        <f t="shared" si="6"/>
        <v>55</v>
      </c>
      <c r="Z14" s="1165">
        <f t="shared" si="6"/>
        <v>0</v>
      </c>
      <c r="AA14" s="1165">
        <f t="shared" si="6"/>
        <v>14</v>
      </c>
      <c r="AB14" s="1165">
        <f t="shared" si="6"/>
        <v>2542</v>
      </c>
      <c r="AC14" s="1165">
        <f t="shared" si="6"/>
        <v>33</v>
      </c>
      <c r="AD14" s="1165">
        <f t="shared" si="6"/>
        <v>0</v>
      </c>
      <c r="AE14" s="1169">
        <f t="shared" si="6"/>
        <v>0</v>
      </c>
      <c r="AF14" s="1162">
        <f t="shared" si="6"/>
        <v>0</v>
      </c>
      <c r="AG14" s="1170">
        <f t="shared" si="6"/>
        <v>0</v>
      </c>
      <c r="AH14" s="1167">
        <f t="shared" si="6"/>
        <v>0</v>
      </c>
      <c r="AI14" s="1162">
        <f t="shared" si="6"/>
        <v>156</v>
      </c>
      <c r="AJ14" s="1164">
        <f t="shared" si="6"/>
        <v>0</v>
      </c>
      <c r="AK14" s="1167">
        <f>SUBTOTAL(9,AK9:AK13)</f>
        <v>0</v>
      </c>
      <c r="AL14" s="1171">
        <f>IF(ISNUMBER(NºAsuntos!G14/NºAsuntos!E14),NºAsuntos!G14/NºAsuntos!E14," - ")</f>
        <v>0.89490968801313631</v>
      </c>
      <c r="AM14" s="1171">
        <f>IF(ISNUMBER(((NºAsuntos!I14/NºAsuntos!G14)*11)/factor_trimestre),((NºAsuntos!I14/NºAsuntos!G14)*11)/factor_trimestre," - ")</f>
        <v>10.954128440366972</v>
      </c>
      <c r="AN14" s="1172">
        <f>IF(ISNUMBER('Resol  Asuntos'!D14/NºAsuntos!G14),'Resol  Asuntos'!D14/NºAsuntos!G14," - ")</f>
        <v>0.28623853211009176</v>
      </c>
      <c r="AO14" s="1173">
        <f>IF(ISNUMBER((NºAsuntos!C14+NºAsuntos!E14)/NºAsuntos!G14),(NºAsuntos!C14+NºAsuntos!E14)/NºAsuntos!G14," - ")</f>
        <v>4.6513761467889907</v>
      </c>
      <c r="AP14" s="1174" t="str">
        <f t="shared" si="2"/>
        <v xml:space="preserve"> - </v>
      </c>
      <c r="AQ14" s="1174">
        <f>IF(ISNUMBER((H14-W14+K14)/(F14)),(H14-W14+K14)/(F14)," - ")</f>
        <v>-0.1875</v>
      </c>
      <c r="AR14" s="1175">
        <f>IF(ISNUMBER((Datos!P14-Datos!Q14)/(Datos!R14-Datos!P14+Datos!Q14)),(Datos!P14-Datos!Q14)/(Datos!R14-Datos!P14+Datos!Q14)," - ")</f>
        <v>1.9246190858059342E-2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616</v>
      </c>
      <c r="G17" s="373">
        <f>IF(ISNUMBER(IF(D_I="SI",Datos!I17,Datos!I17+Datos!AC17)),IF(D_I="SI",Datos!I17,Datos!I17+Datos!AC17)," - ")</f>
        <v>616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455</v>
      </c>
      <c r="X17" s="240">
        <f>IF(ISNUMBER(Datos!Q17),Datos!Q17," - ")</f>
        <v>10</v>
      </c>
      <c r="Y17" s="374">
        <f t="shared" ref="Y17:Y22" si="9">SUM(W17:X17)</f>
        <v>465</v>
      </c>
      <c r="Z17" s="375" t="str">
        <f>IF(ISNUMBER(Datos!CC17),Datos!CC17," - ")</f>
        <v xml:space="preserve"> - </v>
      </c>
      <c r="AA17" s="372">
        <f>IF(ISNUMBER(IF(D_I="SI",Datos!L17,Datos!L17+Datos!AF17)),IF(D_I="SI",Datos!L17,Datos!L17+Datos!AF17)," - ")</f>
        <v>662</v>
      </c>
      <c r="AB17" s="374">
        <f>IF(ISNUMBER(Datos!R17),Datos!R17," - ")</f>
        <v>67</v>
      </c>
      <c r="AC17" s="374">
        <f t="shared" si="8"/>
        <v>729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0.90818363273453095</v>
      </c>
      <c r="AM17" s="284">
        <f>IF(ISNUMBER(((NºAsuntos!I17/NºAsuntos!G17)*11)/factor_trimestre),((NºAsuntos!I17/NºAsuntos!G17)*11)/factor_trimestre," - ")</f>
        <v>4.3648351648351653</v>
      </c>
      <c r="AN17" s="267">
        <f>IF(ISNUMBER('Resol  Asuntos'!D17/NºAsuntos!G17),'Resol  Asuntos'!D17/NºAsuntos!G17," - ")</f>
        <v>0.14505494505494507</v>
      </c>
      <c r="AO17" s="268">
        <f>IF(ISNUMBER((NºAsuntos!C17+NºAsuntos!E17)/NºAsuntos!G17),(NºAsuntos!C17+NºAsuntos!E17)/NºAsuntos!G17," - ")</f>
        <v>2.4549450549450551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0</v>
      </c>
      <c r="Y18" s="374">
        <f t="shared" si="9"/>
        <v>62</v>
      </c>
      <c r="Z18" s="375" t="str">
        <f>IF(ISNUMBER(Datos!CC18),Datos!CC18," - ")</f>
        <v xml:space="preserve"> - </v>
      </c>
      <c r="AA18" s="372">
        <f>IF(ISNUMBER(Datos!L18),Datos!L18,"-")</f>
        <v>59</v>
      </c>
      <c r="AB18" s="374">
        <f>IF(ISNUMBER(Datos!R18),Datos!R18," - ")</f>
        <v>0</v>
      </c>
      <c r="AC18" s="374">
        <f t="shared" si="8"/>
        <v>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0.87323943661971826</v>
      </c>
      <c r="AM18" s="284">
        <f>IF(ISNUMBER(((NºAsuntos!I18/NºAsuntos!G18)*11)/factor_trimestre),((NºAsuntos!I18/NºAsuntos!G18)*11)/factor_trimestre," - ")</f>
        <v>2.8548387096774199</v>
      </c>
      <c r="AN18" s="267">
        <f>IF(ISNUMBER('Resol  Asuntos'!D18/NºAsuntos!G18),'Resol  Asuntos'!D18/NºAsuntos!G18," - ")</f>
        <v>0.11290322580645161</v>
      </c>
      <c r="AO18" s="268">
        <f>IF(ISNUMBER((NºAsuntos!C18+NºAsuntos!E18)/NºAsuntos!G18),(NºAsuntos!C18+NºAsuntos!E18)/NºAsuntos!G18," - ")</f>
        <v>1.9516129032258065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616</v>
      </c>
      <c r="G23" s="1163">
        <f>SUBTOTAL(9,G16:G22)</f>
        <v>666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517</v>
      </c>
      <c r="X23" s="1164">
        <f t="shared" si="14"/>
        <v>10</v>
      </c>
      <c r="Y23" s="1165">
        <f t="shared" si="14"/>
        <v>527</v>
      </c>
      <c r="Z23" s="1165">
        <f t="shared" si="14"/>
        <v>0</v>
      </c>
      <c r="AA23" s="1165">
        <f t="shared" si="14"/>
        <v>721</v>
      </c>
      <c r="AB23" s="1165">
        <f t="shared" si="14"/>
        <v>67</v>
      </c>
      <c r="AC23" s="1165">
        <f t="shared" si="14"/>
        <v>788</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0.90384615384615385</v>
      </c>
      <c r="AM23" s="1171">
        <f>IF(ISNUMBER(((NºAsuntos!I23/NºAsuntos!G23)*11)/factor_trimestre),((NºAsuntos!I23/NºAsuntos!G23)*11)/factor_trimestre," - ")</f>
        <v>4.1837524177949712</v>
      </c>
      <c r="AN23" s="1172">
        <f>IF(ISNUMBER('Resol  Asuntos'!D23/NºAsuntos!G23),'Resol  Asuntos'!D23/NºAsuntos!G23," - ")</f>
        <v>0.14119922630560927</v>
      </c>
      <c r="AO23" s="1173">
        <f>IF(ISNUMBER((NºAsuntos!C23+NºAsuntos!E23)/NºAsuntos!G23),(NºAsuntos!C23+NºAsuntos!E23)/NºAsuntos!G23," - ")</f>
        <v>2.3945841392649903</v>
      </c>
      <c r="AP23" s="1174" t="str">
        <f t="shared" si="2"/>
        <v xml:space="preserve"> - </v>
      </c>
      <c r="AQ23" s="1174">
        <f>IF(ISNUMBER((H23-W23+K23)/(F23)),(H23-W23+K23)/(F23)," - ")</f>
        <v>-0.8392857142857143</v>
      </c>
      <c r="AR23" s="1175">
        <f>IF(ISNUMBER((Datos!P23-Datos!Q23)/(Datos!R23-Datos!P23+Datos!Q23)),(Datos!P23-Datos!Q23)/(Datos!R23-Datos!P23+Datos!Q23)," - ")</f>
        <v>-1.4705882352941176E-2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632</v>
      </c>
      <c r="G31" s="1118">
        <f t="shared" si="20"/>
        <v>682</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520</v>
      </c>
      <c r="X31" s="1118">
        <f t="shared" si="21"/>
        <v>62</v>
      </c>
      <c r="Y31" s="1125">
        <f t="shared" si="21"/>
        <v>582</v>
      </c>
      <c r="Z31" s="1125">
        <f t="shared" si="21"/>
        <v>0</v>
      </c>
      <c r="AA31" s="1125">
        <f t="shared" si="21"/>
        <v>735</v>
      </c>
      <c r="AB31" s="1125">
        <f t="shared" si="21"/>
        <v>2609</v>
      </c>
      <c r="AC31" s="1125">
        <f t="shared" si="21"/>
        <v>821</v>
      </c>
      <c r="AD31" s="1125">
        <f t="shared" si="21"/>
        <v>0</v>
      </c>
      <c r="AE31" s="1127">
        <f t="shared" si="21"/>
        <v>0</v>
      </c>
      <c r="AF31" s="1128">
        <f t="shared" si="21"/>
        <v>0</v>
      </c>
      <c r="AG31" s="1129">
        <f t="shared" si="21"/>
        <v>0</v>
      </c>
      <c r="AH31" s="1127">
        <f t="shared" si="21"/>
        <v>0</v>
      </c>
      <c r="AI31" s="1117">
        <f t="shared" si="21"/>
        <v>229</v>
      </c>
      <c r="AJ31" s="1117">
        <f t="shared" si="21"/>
        <v>0</v>
      </c>
      <c r="AK31" s="1127">
        <f t="shared" si="21"/>
        <v>0</v>
      </c>
      <c r="AL31" s="1183">
        <f>IF(ISNUMBER(NºAsuntos!G31/NºAsuntos!E31),NºAsuntos!G31/NºAsuntos!E31," - ")</f>
        <v>0.89923793395427609</v>
      </c>
      <c r="AM31" s="1184">
        <f>IF(ISNUMBER(((NºAsuntos!I31/NºAsuntos!G31)*11)/factor_trimestre),((NºAsuntos!I31/NºAsuntos!G31)*11)/factor_trimestre," - ")</f>
        <v>7.658192090395481</v>
      </c>
      <c r="AN31" s="1184">
        <f>IF(ISNUMBER('Resol  Asuntos'!D31/NºAsuntos!G31),'Resol  Asuntos'!D31/NºAsuntos!G31," - ")</f>
        <v>0.21563088512241055</v>
      </c>
      <c r="AO31" s="1185">
        <f>IF(ISNUMBER((NºAsuntos!C31+NºAsuntos!E31)/NºAsuntos!G31),(NºAsuntos!C31+NºAsuntos!E31)/NºAsuntos!G31," - ")</f>
        <v>3.5527306967984935</v>
      </c>
      <c r="AP31" s="1186" t="str">
        <f t="shared" si="2"/>
        <v xml:space="preserve"> - </v>
      </c>
      <c r="AQ31" s="1187">
        <f>IF(OR(ISNUMBER(FIND("01",Criterios!A8,1)),ISNUMBER(FIND("02",Criterios!A8,1)),ISNUMBER(FIND("03",Criterios!A8,1)),ISNUMBER(FIND("04",Criterios!A8,1))),(I31-W31+K31)/(F31-K31),(H31-W31+K31)/(F31-K31))</f>
        <v>-0.82278481012658233</v>
      </c>
      <c r="AR31" s="1188">
        <f>IF(ISNUMBER((Datos!P31-Datos!Q31)/(Datos!R31-Datos!P31+Datos!Q31)),(Datos!P31-Datos!Q31)/(Datos!R31-Datos!P31+Datos!Q31)," - ")</f>
        <v>1.8345042935206869E-2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314.05137583947419</v>
      </c>
      <c r="G33" s="277">
        <f>IF(ISNUMBER(STDEV(G8:G30)),STDEV(G8:G30),"-")</f>
        <v>305.57019301159409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232.25765659633063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66.83401614661291</v>
      </c>
      <c r="AJ33" s="276">
        <f t="shared" si="25"/>
        <v>0</v>
      </c>
      <c r="AK33" s="278">
        <f t="shared" si="25"/>
        <v>0</v>
      </c>
      <c r="AL33" s="273">
        <f t="shared" si="25"/>
        <v>0.85972372045142254</v>
      </c>
      <c r="AM33" s="274">
        <f t="shared" si="25"/>
        <v>4.6372923362775671</v>
      </c>
      <c r="AN33" s="274">
        <f t="shared" si="25"/>
        <v>0.33765297307113751</v>
      </c>
      <c r="AO33" s="275">
        <f t="shared" si="25"/>
        <v>1.5457641120925223</v>
      </c>
      <c r="AP33" s="317" t="str">
        <f t="shared" si="25"/>
        <v>-</v>
      </c>
      <c r="AQ33" s="318">
        <f t="shared" si="25"/>
        <v>0.46088209845194605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ad6qou6R2PPA3m47SyR2Sq74mHz/MYOeNiWUdPa4aCtBpgS8nqjD3Ozb+0rY8nGWpjNLwaSMq8fYX/Lfb9/Zg==" saltValue="sif7+tRsWGegyh3Jc2jx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CANGAS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-0.27272727272727271</v>
      </c>
      <c r="E10" s="393">
        <f>IF(ISNUMBER((Datos!J10-Datos!T10)/Datos!T10),(Datos!J10-Datos!T10)/Datos!T10," - ")</f>
        <v>0</v>
      </c>
      <c r="F10" s="393">
        <f>IF(ISNUMBER((Datos!K10-Datos!U10)/Datos!U10),(Datos!K10-Datos!U10)/Datos!U10," - ")</f>
        <v>0</v>
      </c>
      <c r="G10" s="394">
        <f>IF(ISNUMBER((Datos!L10-Datos!V10)/Datos!V10),(Datos!L10-Datos!V10)/Datos!V10," - ")</f>
        <v>-0.3</v>
      </c>
      <c r="H10" s="244">
        <f>IF(ISNUMBER((Datos!M10-Datos!W10)/Datos!W10),(Datos!M10-Datos!W10)/Datos!W10," - ")</f>
        <v>0</v>
      </c>
      <c r="I10" s="395">
        <f>IF(ISNUMBER((Tasas!C10-Datos!BE10)/Datos!BE10),(Tasas!C10-Datos!BE10)/Datos!BE10," - ")</f>
        <v>-0.3</v>
      </c>
      <c r="J10" s="394">
        <f>IF(ISNUMBER((Tasas!D10-Datos!BF10)/Datos!BF10),(Tasas!D10-Datos!BF10)/Datos!BF10," - ")</f>
        <v>0</v>
      </c>
      <c r="K10" s="396">
        <f>IF(ISNUMBER((Tasas!E10-Datos!BG10)/Datos!BG10),(Tasas!E10-Datos!BG10)/Datos!BG10," - ")</f>
        <v>-0.2608695652173913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-2.5477707006369428E-2</v>
      </c>
      <c r="I12" s="395">
        <f>IF(ISNUMBER((Tasas!C12-Datos!BE12)/Datos!BE12),(Tasas!C12-Datos!BE12)/Datos!BE12," - ")</f>
        <v>-3.8804904178074071E-2</v>
      </c>
      <c r="J12" s="394">
        <f>IF(ISNUMBER((Tasas!D12-Datos!BF12)/Datos!BF12),(Tasas!D12-Datos!BF12)/Datos!BF12," - ")</f>
        <v>0.18784479924007166</v>
      </c>
      <c r="K12" s="396">
        <f>IF(ISNUMBER((Tasas!E12-Datos!BG12)/Datos!BG12),(Tasas!E12-Datos!BG12)/Datos!BG12," - ")</f>
        <v>-3.0708642874352092E-2</v>
      </c>
      <c r="M12" t="e">
        <f>IF(Monitorios="SI",Datos!CE12,0)</f>
        <v>#REF!</v>
      </c>
      <c r="N12" t="e">
        <f>IF(Monitorios="SI",Datos!CF12,0)</f>
        <v>#REF!</v>
      </c>
      <c r="O12" t="e">
        <f>IF(Monitorios="SI",Datos!CG12,0)</f>
        <v>#REF!</v>
      </c>
      <c r="P12" t="e">
        <f>IF(Monitorios="SI",Datos!CH12,0)</f>
        <v>#REF!</v>
      </c>
      <c r="Q12">
        <f>IF(J_V="SI",0,Datos!AG12)</f>
        <v>124</v>
      </c>
      <c r="R12">
        <f>IF(J_V="SI",0,Datos!AH12)</f>
        <v>63</v>
      </c>
      <c r="S12">
        <f>IF(J_V="SI",0,Datos!AI12)</f>
        <v>63</v>
      </c>
      <c r="T12">
        <f>IF(J_V="SI",0,Datos!AJ12)</f>
        <v>124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-2.5000000000000001E-2</v>
      </c>
      <c r="I14" s="402">
        <f>IF(ISNUMBER((Tasas!C14-Datos!BE14)/Datos!BE14),(Tasas!C14-Datos!BE14)/Datos!BE14," - ")</f>
        <v>-4.2408706601906848E-2</v>
      </c>
      <c r="J14" s="400">
        <f>IF(ISNUMBER((Tasas!D14-Datos!BF14)/Datos!BF14),(Tasas!D14-Datos!BF14)/Datos!BF14," - ")</f>
        <v>0.17798165137614685</v>
      </c>
      <c r="K14" s="403">
        <f>IF(ISNUMBER((Tasas!E14-Datos!BG14)/Datos!BG14),(Tasas!E14-Datos!BG14)/Datos!BG14," - ")</f>
        <v>-3.3597577269083571E-2</v>
      </c>
      <c r="M14" t="e">
        <f>IF(Monitorios="SI",Datos!CE14,0)</f>
        <v>#REF!</v>
      </c>
      <c r="N14" t="e">
        <f>IF(Monitorios="SI",Datos!CF14,0)</f>
        <v>#REF!</v>
      </c>
      <c r="O14" t="e">
        <f>IF(Monitorios="SI",Datos!CG14,0)</f>
        <v>#REF!</v>
      </c>
      <c r="P14" t="e">
        <f>IF(Monitorios="SI",Datos!CH14,0)</f>
        <v>#REF!</v>
      </c>
      <c r="Q14">
        <f>IF(J_V="SI",0,Datos!AG14)</f>
        <v>124</v>
      </c>
      <c r="R14">
        <f>IF(J_V="SI",0,Datos!AH14)</f>
        <v>63</v>
      </c>
      <c r="S14">
        <f>IF(J_V="SI",0,Datos!AI14)</f>
        <v>63</v>
      </c>
      <c r="T14">
        <f>IF(J_V="SI",0,Datos!AJ14)</f>
        <v>124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0.15572232645403378</v>
      </c>
      <c r="E17" s="393">
        <f>IF(ISNUMBER(
   IF(D_I="SI",(Datos!J17-Datos!T17)/Datos!T17,(Datos!J17+Datos!AD17-(Datos!T17+Datos!AL17))/(Datos!T17+Datos!AL17))
     ),IF(D_I="SI",(Datos!J17-Datos!T17)/Datos!T17,(Datos!J17+Datos!AD17-(Datos!T17+Datos!AL17))/(Datos!T17+Datos!AL17))," - ")</f>
        <v>-3.2818532818532815E-2</v>
      </c>
      <c r="F17" s="393">
        <f>IF(ISNUMBER(
   IF(D_I="SI",(Datos!K17-Datos!U17)/Datos!U17,(Datos!K17+Datos!AE17-(Datos!U17+Datos!AM17))/(Datos!U17+Datos!AM17))
     ),IF(D_I="SI",(Datos!K17-Datos!U17)/Datos!U17,(Datos!K17+Datos!AE17-(Datos!U17+Datos!AM17))/(Datos!U17+Datos!AM17))," - ")</f>
        <v>-0.16513761467889909</v>
      </c>
      <c r="G17" s="394">
        <f>IF(ISNUMBER(
   IF(D_I="SI",(Datos!L17-Datos!V17)/Datos!V17,(Datos!L17+Datos!AF17-(Datos!V17+Datos!AN17))/(Datos!V17+Datos!AN17))
     ),IF(D_I="SI",(Datos!L17-Datos!V17)/Datos!V17,(Datos!L17+Datos!AF17-(Datos!V17+Datos!AN17))/(Datos!V17+Datos!AN17))," - ")</f>
        <v>0.30830039525691699</v>
      </c>
      <c r="H17" s="244">
        <f>IF(ISNUMBER((Datos!M17-Datos!W17)/Datos!W17),(Datos!M17-Datos!W17)/Datos!W17," - ")</f>
        <v>-0.16455696202531644</v>
      </c>
      <c r="I17" s="395">
        <f>IF(ISNUMBER((Tasas!C17-Datos!BE17)/Datos!BE17),(Tasas!C17-Datos!BE17)/Datos!BE17," - ")</f>
        <v>0.56708508882421915</v>
      </c>
      <c r="J17" s="394">
        <f>IF(ISNUMBER((Tasas!D17-Datos!BF17)/Datos!BF17),(Tasas!D17-Datos!BF17)/Datos!BF17," - ")</f>
        <v>6.9550702462097599E-4</v>
      </c>
      <c r="K17" s="396">
        <f>IF(ISNUMBER((Tasas!E17-Datos!BG17)/Datos!BG17),(Tasas!E17-Datos!BG17)/Datos!BG17," - ")</f>
        <v>0.27302098472412473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-0.18032786885245902</v>
      </c>
      <c r="E18" s="393">
        <f>IF(ISNUMBER(
   IF(D_I="SI",(Datos!J18-Datos!T18)/Datos!T18,(Datos!J18+Datos!AD18-(Datos!T18+Datos!AL18))/(Datos!T18+Datos!AL18))
     ),IF(D_I="SI",(Datos!J18-Datos!T18)/Datos!T18,(Datos!J18+Datos!AD18-(Datos!T18+Datos!AL18))/(Datos!T18+Datos!AL18))," - ")</f>
        <v>0.86842105263157898</v>
      </c>
      <c r="F18" s="393">
        <f>IF(ISNUMBER(
   IF(D_I="SI",(Datos!K18-Datos!U18)/Datos!U18,(Datos!K18+Datos!AE18-(Datos!U18+Datos!AM18))/(Datos!U18+Datos!AM18))
     ),IF(D_I="SI",(Datos!K18-Datos!U18)/Datos!U18,(Datos!K18+Datos!AE18-(Datos!U18+Datos!AM18))/(Datos!U18+Datos!AM18))," - ")</f>
        <v>0.31914893617021278</v>
      </c>
      <c r="G18" s="394">
        <f>IF(ISNUMBER(
   IF(D_I="SI",(Datos!L18-Datos!V18)/Datos!V18,(Datos!L18+Datos!AF18-(Datos!V18+Datos!AN18))/(Datos!V18+Datos!AN18))
     ),IF(D_I="SI",(Datos!L18-Datos!V18)/Datos!V18,(Datos!L18+Datos!AF18-(Datos!V18+Datos!AN18))/(Datos!V18+Datos!AN18))," - ")</f>
        <v>0.13461538461538461</v>
      </c>
      <c r="H18" s="244">
        <f>IF(ISNUMBER((Datos!M18-Datos!W18)/Datos!W18),(Datos!M18-Datos!W18)/Datos!W18," - ")</f>
        <v>6</v>
      </c>
      <c r="I18" s="395">
        <f>IF(ISNUMBER((Tasas!C18-Datos!BE18)/Datos!BE18),(Tasas!C18-Datos!BE18)/Datos!BE18," - ")</f>
        <v>-0.13988833746898263</v>
      </c>
      <c r="J18" s="394">
        <f>IF(ISNUMBER((Tasas!D18-Datos!BF18)/Datos!BF18),(Tasas!D18-Datos!BF18)/Datos!BF18," - ")</f>
        <v>4.306451612903226</v>
      </c>
      <c r="K18" s="396">
        <f>IF(ISNUMBER((Tasas!E18-Datos!BG18)/Datos!BG18),(Tasas!E18-Datos!BG18)/Datos!BG18," - ")</f>
        <v>-7.3476702508960476E-2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0.12121212121212122</v>
      </c>
      <c r="E23" s="399">
        <f>IF(ISNUMBER(
   IF(D_I="SI",(Datos!J23-Datos!T23)/Datos!T23,(Datos!J23+Datos!AD23-(Datos!T23+Datos!AL23))/(Datos!T23+Datos!AL23))
     ),IF(D_I="SI",(Datos!J23-Datos!T23)/Datos!T23,(Datos!J23+Datos!AD23-(Datos!T23+Datos!AL23))/(Datos!T23+Datos!AL23))," - ")</f>
        <v>2.8776978417266189E-2</v>
      </c>
      <c r="F23" s="399">
        <f>IF(ISNUMBER(
   IF(D_I="SI",(Datos!K23-Datos!U23)/Datos!U23,(Datos!K23+Datos!AE23-(Datos!U23+Datos!AM23))/(Datos!U23+Datos!AM23))
     ),IF(D_I="SI",(Datos!K23-Datos!U23)/Datos!U23,(Datos!K23+Datos!AE23-(Datos!U23+Datos!AM23))/(Datos!U23+Datos!AM23))," - ")</f>
        <v>-0.1266891891891892</v>
      </c>
      <c r="G23" s="400">
        <f>IF(ISNUMBER(
   IF(D_I="SI",(Datos!L23-Datos!V23)/Datos!V23,(Datos!L23+Datos!AF23-(Datos!V23+Datos!AN23))/(Datos!V23+Datos!AN23))
     ),IF(D_I="SI",(Datos!L23-Datos!V23)/Datos!V23,(Datos!L23+Datos!AF23-(Datos!V23+Datos!AN23))/(Datos!V23+Datos!AN23))," - ")</f>
        <v>0.29211469534050177</v>
      </c>
      <c r="H23" s="401">
        <f>IF(ISNUMBER((Datos!M23-Datos!W23)/Datos!W23),(Datos!M23-Datos!W23)/Datos!W23," - ")</f>
        <v>-8.7499999999999994E-2</v>
      </c>
      <c r="I23" s="402">
        <f>IF(ISNUMBER((Tasas!C23-Datos!BE23)/Datos!BE23),(Tasas!C23-Datos!BE23)/Datos!BE23," - ")</f>
        <v>0.47955880008041979</v>
      </c>
      <c r="J23" s="400">
        <f>IF(ISNUMBER((Tasas!D23-Datos!BF23)/Datos!BF23),(Tasas!D23-Datos!BF23)/Datos!BF23," - ")</f>
        <v>4.4874274661508548E-2</v>
      </c>
      <c r="K23" s="403">
        <f>IF(ISNUMBER((Tasas!E23-Datos!BG23)/Datos!BG23),(Tasas!E23-Datos!BG23)/Datos!BG23," - ")</f>
        <v>0.23269026995206457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0.17871759890859482</v>
      </c>
      <c r="E31" s="409">
        <f>IF(ISNUMBER(
   IF(J_V="SI",(Datos!J31-Datos!T31)/Datos!T31,(Datos!J31+Datos!Z31-(Datos!T31+Datos!AH31))/(Datos!T31+Datos!AH31))
     ),IF(J_V="SI",(Datos!J31-Datos!T31)/Datos!T31,(Datos!J31+Datos!Z31-(Datos!T31+Datos!AH31))/(Datos!T31+Datos!AH31))," - ")</f>
        <v>0.16815034619188921</v>
      </c>
      <c r="F31" s="409">
        <f>IF(ISNUMBER(
   IF(J_V="SI",(Datos!K31-Datos!U31)/Datos!U31,(Datos!K31+Datos!AA31-(Datos!U31+Datos!AI31))/(Datos!U31+Datos!AI31))
     ),IF(J_V="SI",(Datos!K31-Datos!U31)/Datos!U31,(Datos!K31+Datos!AA31-(Datos!U31+Datos!AI31))/(Datos!U31+Datos!AI31))," - ")</f>
        <v>4.1176470588235294E-2</v>
      </c>
      <c r="G31" s="410">
        <f>IF(ISNUMBER(
   IF(J_V="SI",(Datos!L31-Datos!V31)/Datos!V31,(Datos!L31+Datos!AB31-(Datos!V31+Datos!AJ31))/(Datos!V31+Datos!AJ31))
     ),IF(J_V="SI",(Datos!L31-Datos!V31)/Datos!V31,(Datos!L31+Datos!AB31-(Datos!V31+Datos!AJ31))/(Datos!V31+Datos!AJ31))," - ")</f>
        <v>0.23789954337899544</v>
      </c>
      <c r="H31" s="411">
        <f>IF(ISNUMBER((Datos!M31-Datos!W31)/Datos!W31),(Datos!M31-Datos!W31)/Datos!W31," - ")</f>
        <v>-4.583333333333333E-2</v>
      </c>
      <c r="I31" s="408">
        <f>IF(ISNUMBER((Tasas!C31-Datos!BE31)/Datos!BE31),(Tasas!C31-Datos!BE31)/Datos!BE31," - ")</f>
        <v>0.18894306426231208</v>
      </c>
      <c r="J31" s="409">
        <f>IF(ISNUMBER((Tasas!D31-Datos!BF31)/Datos!BF31),(Tasas!D31-Datos!BF31)/Datos!BF31," - ")</f>
        <v>0.19534512404814544</v>
      </c>
      <c r="K31" s="410">
        <f>IF(ISNUMBER((Tasas!E31-Datos!BG31)/Datos!BG31),(Tasas!E31-Datos!BG31)/Datos!BG31," - ")</f>
        <v>0.12890508122568956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0.21454253824744915</v>
      </c>
      <c r="E33" s="303">
        <f t="shared" si="1"/>
        <v>0.4356115685626003</v>
      </c>
      <c r="F33" s="303">
        <f t="shared" si="1"/>
        <v>0.21984085241332008</v>
      </c>
      <c r="G33" s="304">
        <f t="shared" si="1"/>
        <v>0.28354220857667967</v>
      </c>
      <c r="H33" s="310">
        <f t="shared" si="1"/>
        <v>2.4749070349290965</v>
      </c>
      <c r="I33" s="302">
        <f t="shared" si="1"/>
        <v>0.35168247556010174</v>
      </c>
      <c r="J33" s="303">
        <f t="shared" si="1"/>
        <v>1.7265469257225259</v>
      </c>
      <c r="K33" s="304">
        <f t="shared" si="1"/>
        <v>0.20114598200589628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XwSvPlT/SBaeJyUbiZDhXhGfuo+/acWLMnZ8iDzOeIakTj/dKwRDILI2rdlYnFp6D2BkVrDLCOSVR9v2Cw43g==" saltValue="ZM7mK2Hu3DpaM5jDV+vn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